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Helen Smith - Working File\Helen Smith HR and OD Consultancy Services Limited\Business Development\Information and Guides\"/>
    </mc:Choice>
  </mc:AlternateContent>
  <bookViews>
    <workbookView xWindow="0" yWindow="0" windowWidth="20490" windowHeight="7755"/>
  </bookViews>
  <sheets>
    <sheet name="Leave Year ~ April to March"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0" i="1" l="1"/>
  <c r="N51" i="1"/>
  <c r="N49" i="1"/>
  <c r="N48" i="1"/>
  <c r="N47" i="1"/>
  <c r="N46" i="1"/>
  <c r="N45" i="1"/>
  <c r="N44" i="1"/>
  <c r="N43" i="1"/>
  <c r="N42" i="1"/>
  <c r="N41" i="1"/>
  <c r="N40" i="1"/>
  <c r="N39" i="1"/>
  <c r="N38" i="1"/>
  <c r="N37" i="1"/>
  <c r="N36" i="1"/>
  <c r="N35" i="1"/>
  <c r="N34" i="1"/>
  <c r="N33" i="1"/>
  <c r="N32" i="1"/>
  <c r="N31" i="1"/>
  <c r="N30" i="1"/>
  <c r="N28" i="1"/>
  <c r="N26" i="1"/>
  <c r="N24" i="1"/>
  <c r="N29" i="1"/>
  <c r="N27" i="1"/>
  <c r="N25" i="1"/>
  <c r="N23" i="1"/>
  <c r="M50" i="1"/>
  <c r="M49" i="1"/>
  <c r="M48" i="1"/>
  <c r="M47" i="1"/>
  <c r="M46" i="1"/>
  <c r="M45" i="1"/>
  <c r="M44" i="1"/>
  <c r="M43" i="1"/>
  <c r="M42" i="1"/>
  <c r="M41" i="1"/>
  <c r="M40" i="1"/>
  <c r="M39" i="1"/>
  <c r="M38" i="1"/>
  <c r="M37" i="1"/>
  <c r="M36" i="1"/>
  <c r="M35" i="1"/>
  <c r="M34" i="1"/>
  <c r="M33" i="1"/>
  <c r="M32" i="1"/>
  <c r="M31" i="1"/>
  <c r="M30" i="1"/>
  <c r="M29" i="1"/>
  <c r="M28" i="1"/>
  <c r="M27" i="1"/>
  <c r="M26" i="1"/>
  <c r="M24" i="1"/>
  <c r="M25" i="1"/>
  <c r="M23"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D52" i="1"/>
  <c r="D51" i="1"/>
  <c r="D50" i="1"/>
  <c r="D49" i="1"/>
  <c r="D48" i="1"/>
  <c r="D47" i="1"/>
  <c r="D46" i="1"/>
  <c r="D45" i="1"/>
  <c r="D44" i="1"/>
  <c r="D43" i="1"/>
  <c r="D42" i="1"/>
  <c r="D41" i="1"/>
  <c r="D40" i="1"/>
  <c r="D39" i="1"/>
  <c r="D38" i="1"/>
  <c r="D37" i="1"/>
  <c r="D36" i="1"/>
  <c r="D35" i="1"/>
  <c r="D34" i="1"/>
  <c r="D33" i="1"/>
  <c r="D32" i="1"/>
  <c r="D31" i="1"/>
  <c r="D29" i="1"/>
  <c r="D28" i="1"/>
  <c r="D25" i="1"/>
  <c r="D53" i="1"/>
  <c r="D30" i="1"/>
  <c r="D27" i="1"/>
  <c r="D26" i="1"/>
  <c r="D24" i="1"/>
  <c r="D2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3" i="1"/>
  <c r="H24"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alcChain>
</file>

<file path=xl/sharedStrings.xml><?xml version="1.0" encoding="utf-8"?>
<sst xmlns="http://schemas.openxmlformats.org/spreadsheetml/2006/main" count="20" uniqueCount="20">
  <si>
    <t>April</t>
  </si>
  <si>
    <t>May</t>
  </si>
  <si>
    <t xml:space="preserve">June </t>
  </si>
  <si>
    <t>July</t>
  </si>
  <si>
    <t xml:space="preserve">August </t>
  </si>
  <si>
    <t>September</t>
  </si>
  <si>
    <t>October</t>
  </si>
  <si>
    <t>November</t>
  </si>
  <si>
    <t>December</t>
  </si>
  <si>
    <t>January</t>
  </si>
  <si>
    <t>February</t>
  </si>
  <si>
    <t xml:space="preserve">March </t>
  </si>
  <si>
    <t>Full Year Entitlement:</t>
  </si>
  <si>
    <t>Current Year Entitlement, based on Start Date:</t>
  </si>
  <si>
    <t>28-days</t>
  </si>
  <si>
    <t>Leap Year</t>
  </si>
  <si>
    <t>For more complex working arrangements; i.e. employees who do not work a standard number of hours each day/week, please contact us and we will be happy to provide you with some further assistance...</t>
  </si>
  <si>
    <t>Holiday Entitlement ~ Ready Reckoner</t>
  </si>
  <si>
    <r>
      <rPr>
        <i/>
        <sz val="9"/>
        <color theme="1"/>
        <rFont val="Symbol"/>
        <family val="1"/>
        <charset val="2"/>
      </rPr>
      <t>Ó</t>
    </r>
    <r>
      <rPr>
        <i/>
        <sz val="9"/>
        <color theme="1"/>
        <rFont val="Arial"/>
        <family val="2"/>
      </rPr>
      <t xml:space="preserve"> Crescita HR &amp; OD (A trading name of Helen Smith HR &amp; OD Consultancy Services Limited; a Registered Company in England ~ 7213731)</t>
    </r>
  </si>
  <si>
    <t>The table below is designed to help you work out your employee's entitlement to holiday is, particularly when they join your Company part-way through the holiday year.  Here's how it works:
In the red box, enter the holiday entitlement for the full year (this can be entered as either hours or days); this will adjust the calculations and should be a minimum of 20-days excluding bank/public holidays or 28-days including them or your contractual holiday entitlement if you give over the statutory minimum.  This can be entered as either hours or days.
Scroll down the first column to find the day on which they commenced employment and then across to find the month; the figure in the box where the two meet, is the employee's entitlement to holiday in their first year.
A couple of points to note:
This table is for those running their leave year between April and March each year; please download our alternative 'reckoner' for those running a leave year between January and December.
The table is based on a full time employee.  To calculate the holiday entitlement of a part-time employee, use the following formula:
Actual Hours worked per week/Full time hours worked per week = FTE (i.e. 20/36= 0.56)
Full-time Equivalent x holiday entitlement = Part-time holiday entitlement (i.e. 0.56 x 21 = 12 days)
Where there is a part-day, the normal rules of rounding do not apply; you may either round up to the next whole number or agree to allow the individual to take a part-day, for example, by agreeing that they can start work later or finish earlier.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</si>
</sst>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i/>
      <sz val="9"/>
      <color theme="1"/>
      <name val="Arial"/>
      <family val="2"/>
    </font>
    <font>
      <i/>
      <sz val="10"/>
      <color theme="1"/>
      <name val="Arial"/>
      <family val="2"/>
    </font>
    <font>
      <b/>
      <sz val="14"/>
      <color theme="1"/>
      <name val="Arial"/>
      <family val="2"/>
    </font>
    <font>
      <i/>
      <sz val="9"/>
      <color theme="1"/>
      <name val="Symbol"/>
      <family val="1"/>
      <charset val="2"/>
    </font>
  </fonts>
  <fills count="6">
    <fill>
      <patternFill patternType="none"/>
    </fill>
    <fill>
      <patternFill patternType="gray125"/>
    </fill>
    <fill>
      <patternFill patternType="solid">
        <fgColor theme="3" tint="0.79998168889431442"/>
        <bgColor indexed="64"/>
      </patternFill>
    </fill>
    <fill>
      <patternFill patternType="gray125">
        <bgColor theme="6" tint="0.79995117038483843"/>
      </patternFill>
    </fill>
    <fill>
      <patternFill patternType="solid">
        <fgColor theme="0" tint="-4.9989318521683403E-2"/>
        <bgColor indexed="64"/>
      </patternFill>
    </fill>
    <fill>
      <patternFill patternType="solid">
        <fgColor theme="5" tint="0.79998168889431442"/>
        <bgColor indexed="64"/>
      </patternFill>
    </fill>
  </fills>
  <borders count="34">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double">
        <color auto="1"/>
      </right>
      <top/>
      <bottom style="double">
        <color auto="1"/>
      </bottom>
      <diagonal/>
    </border>
    <border>
      <left/>
      <right style="thin">
        <color auto="1"/>
      </right>
      <top style="double">
        <color auto="1"/>
      </top>
      <bottom/>
      <diagonal/>
    </border>
    <border>
      <left/>
      <right style="thin">
        <color auto="1"/>
      </right>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64">
    <xf numFmtId="0" fontId="0" fillId="0" borderId="0" xfId="0"/>
    <xf numFmtId="0" fontId="1" fillId="0" borderId="0" xfId="0" applyFont="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0" fillId="0" borderId="0" xfId="0" applyAlignment="1">
      <alignment horizontal="center"/>
    </xf>
    <xf numFmtId="0" fontId="3" fillId="0" borderId="0" xfId="0" applyFont="1" applyAlignment="1">
      <alignment vertical="top" wrapText="1"/>
    </xf>
    <xf numFmtId="0" fontId="0" fillId="4" borderId="0" xfId="0" applyFill="1"/>
    <xf numFmtId="0" fontId="0" fillId="4" borderId="0" xfId="0" applyFill="1" applyAlignment="1">
      <alignment horizontal="center"/>
    </xf>
    <xf numFmtId="0" fontId="3" fillId="4" borderId="0" xfId="0" applyFont="1" applyFill="1" applyAlignment="1">
      <alignment vertical="top" wrapText="1"/>
    </xf>
    <xf numFmtId="164" fontId="0" fillId="2" borderId="19" xfId="0" applyNumberFormat="1" applyFill="1" applyBorder="1" applyAlignment="1">
      <alignment horizontal="center"/>
    </xf>
    <xf numFmtId="164" fontId="0" fillId="0" borderId="9" xfId="0" applyNumberFormat="1" applyFill="1" applyBorder="1" applyAlignment="1">
      <alignment horizontal="center"/>
    </xf>
    <xf numFmtId="164" fontId="0" fillId="2" borderId="9" xfId="0" applyNumberFormat="1" applyFill="1" applyBorder="1" applyAlignment="1">
      <alignment horizontal="center"/>
    </xf>
    <xf numFmtId="164" fontId="0" fillId="2" borderId="9" xfId="0" applyNumberFormat="1" applyFill="1" applyBorder="1"/>
    <xf numFmtId="164" fontId="0" fillId="0" borderId="10" xfId="0" applyNumberFormat="1" applyFill="1" applyBorder="1" applyAlignment="1">
      <alignment horizontal="center"/>
    </xf>
    <xf numFmtId="164" fontId="0" fillId="2" borderId="20" xfId="0" applyNumberFormat="1" applyFill="1" applyBorder="1" applyAlignment="1">
      <alignment horizontal="center"/>
    </xf>
    <xf numFmtId="164" fontId="0" fillId="0" borderId="2" xfId="0" applyNumberFormat="1" applyFill="1" applyBorder="1" applyAlignment="1">
      <alignment horizontal="center"/>
    </xf>
    <xf numFmtId="164" fontId="0" fillId="2" borderId="2" xfId="0" applyNumberFormat="1" applyFill="1" applyBorder="1" applyAlignment="1">
      <alignment horizontal="center"/>
    </xf>
    <xf numFmtId="164" fontId="0" fillId="2" borderId="2" xfId="0" applyNumberFormat="1" applyFill="1" applyBorder="1"/>
    <xf numFmtId="164" fontId="0" fillId="0" borderId="3" xfId="0" applyNumberFormat="1" applyFill="1" applyBorder="1" applyAlignment="1">
      <alignment horizontal="center"/>
    </xf>
    <xf numFmtId="164" fontId="0" fillId="3" borderId="2" xfId="0" applyNumberFormat="1" applyFill="1" applyBorder="1"/>
    <xf numFmtId="164" fontId="0" fillId="3" borderId="8" xfId="0" applyNumberFormat="1" applyFill="1" applyBorder="1"/>
    <xf numFmtId="164" fontId="0" fillId="3" borderId="21" xfId="0" applyNumberFormat="1" applyFill="1" applyBorder="1" applyAlignment="1">
      <alignment horizontal="center"/>
    </xf>
    <xf numFmtId="164" fontId="0" fillId="0" borderId="4" xfId="0" applyNumberFormat="1" applyFill="1" applyBorder="1" applyAlignment="1">
      <alignment horizontal="center"/>
    </xf>
    <xf numFmtId="164" fontId="0" fillId="3" borderId="4" xfId="0" applyNumberFormat="1" applyFill="1" applyBorder="1" applyAlignment="1">
      <alignment horizontal="center"/>
    </xf>
    <xf numFmtId="164" fontId="0" fillId="2" borderId="4" xfId="0" applyNumberFormat="1" applyFill="1" applyBorder="1" applyAlignment="1">
      <alignment horizontal="center"/>
    </xf>
    <xf numFmtId="164" fontId="0" fillId="3" borderId="4" xfId="0" applyNumberFormat="1" applyFill="1" applyBorder="1"/>
    <xf numFmtId="164" fontId="0" fillId="0" borderId="5" xfId="0" applyNumberFormat="1" applyFill="1" applyBorder="1" applyAlignment="1">
      <alignment horizontal="center"/>
    </xf>
    <xf numFmtId="0" fontId="1" fillId="2" borderId="12" xfId="0" applyFont="1" applyFill="1" applyBorder="1" applyAlignment="1">
      <alignment horizontal="center" vertical="center"/>
    </xf>
    <xf numFmtId="0" fontId="0" fillId="0" borderId="14" xfId="0" applyBorder="1" applyAlignment="1">
      <alignment horizontal="center" vertical="center"/>
    </xf>
    <xf numFmtId="0" fontId="1" fillId="0" borderId="12" xfId="0" applyFont="1" applyBorder="1" applyAlignment="1">
      <alignment horizontal="center" vertical="center"/>
    </xf>
    <xf numFmtId="0" fontId="0" fillId="0" borderId="0" xfId="0" applyAlignment="1"/>
    <xf numFmtId="0" fontId="0" fillId="4" borderId="0" xfId="0" applyFill="1" applyAlignment="1"/>
    <xf numFmtId="0" fontId="2" fillId="4" borderId="0" xfId="0" applyFont="1" applyFill="1" applyAlignment="1">
      <alignment vertical="center" wrapText="1"/>
    </xf>
    <xf numFmtId="0" fontId="2" fillId="4" borderId="27" xfId="0" applyFont="1" applyFill="1" applyBorder="1" applyAlignment="1">
      <alignment vertical="top" wrapText="1"/>
    </xf>
    <xf numFmtId="0" fontId="2" fillId="4" borderId="28" xfId="0" applyFont="1" applyFill="1" applyBorder="1" applyAlignment="1">
      <alignment vertical="top" wrapText="1"/>
    </xf>
    <xf numFmtId="0" fontId="2" fillId="4" borderId="29" xfId="0" applyFont="1" applyFill="1" applyBorder="1" applyAlignment="1">
      <alignment vertical="top" wrapText="1"/>
    </xf>
    <xf numFmtId="0" fontId="2" fillId="4" borderId="30" xfId="0" applyFont="1" applyFill="1" applyBorder="1" applyAlignment="1">
      <alignment vertical="top" wrapText="1"/>
    </xf>
    <xf numFmtId="0" fontId="2" fillId="4" borderId="0" xfId="0" applyFont="1" applyFill="1" applyBorder="1" applyAlignment="1">
      <alignment vertical="top" wrapText="1"/>
    </xf>
    <xf numFmtId="0" fontId="2" fillId="4" borderId="6" xfId="0" applyFont="1" applyFill="1" applyBorder="1" applyAlignment="1">
      <alignment vertical="top" wrapText="1"/>
    </xf>
    <xf numFmtId="0" fontId="2" fillId="4" borderId="31" xfId="0" applyFont="1" applyFill="1" applyBorder="1" applyAlignment="1">
      <alignment vertical="top" wrapText="1"/>
    </xf>
    <xf numFmtId="0" fontId="2" fillId="4" borderId="32" xfId="0" applyFont="1" applyFill="1" applyBorder="1" applyAlignment="1">
      <alignment vertical="top" wrapText="1"/>
    </xf>
    <xf numFmtId="0" fontId="2" fillId="4" borderId="33" xfId="0" applyFont="1" applyFill="1" applyBorder="1" applyAlignment="1">
      <alignment vertical="top" wrapText="1"/>
    </xf>
    <xf numFmtId="0" fontId="3" fillId="4" borderId="0" xfId="0" applyFont="1" applyFill="1" applyAlignment="1">
      <alignment vertical="top" wrapText="1"/>
    </xf>
    <xf numFmtId="0" fontId="0" fillId="4" borderId="0" xfId="0" applyFill="1" applyAlignment="1">
      <alignment vertical="top" wrapText="1"/>
    </xf>
    <xf numFmtId="0" fontId="1" fillId="0" borderId="13" xfId="0" applyFont="1" applyBorder="1" applyAlignment="1">
      <alignment horizontal="center" vertical="center"/>
    </xf>
    <xf numFmtId="0" fontId="0" fillId="0" borderId="16" xfId="0" applyBorder="1" applyAlignment="1">
      <alignment horizontal="center" vertical="center"/>
    </xf>
    <xf numFmtId="0" fontId="1" fillId="0" borderId="22" xfId="0" applyFont="1" applyBorder="1" applyAlignment="1">
      <alignment horizontal="center" vertical="center"/>
    </xf>
    <xf numFmtId="0" fontId="0" fillId="0" borderId="23" xfId="0" applyBorder="1" applyAlignment="1">
      <alignment horizontal="center" vertical="center"/>
    </xf>
    <xf numFmtId="0" fontId="1" fillId="2" borderId="7" xfId="0" applyFont="1" applyFill="1" applyBorder="1" applyAlignment="1">
      <alignment horizontal="center" vertical="center"/>
    </xf>
    <xf numFmtId="0" fontId="0" fillId="0" borderId="11" xfId="0" applyBorder="1" applyAlignment="1">
      <alignment horizontal="center" vertical="center"/>
    </xf>
    <xf numFmtId="0" fontId="1" fillId="2" borderId="17" xfId="0" applyFont="1" applyFill="1" applyBorder="1" applyAlignment="1">
      <alignment horizontal="center" vertical="center"/>
    </xf>
    <xf numFmtId="0" fontId="0" fillId="0" borderId="18" xfId="0"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1" fillId="0" borderId="0" xfId="0" applyFont="1" applyFill="1" applyAlignment="1"/>
    <xf numFmtId="0" fontId="0" fillId="0" borderId="0" xfId="0" applyFill="1" applyAlignment="1"/>
    <xf numFmtId="0" fontId="0" fillId="0" borderId="6" xfId="0" applyFill="1" applyBorder="1" applyAlignment="1"/>
    <xf numFmtId="0" fontId="1" fillId="0" borderId="0" xfId="0" applyFont="1" applyFill="1" applyAlignment="1">
      <alignment horizontal="center"/>
    </xf>
    <xf numFmtId="0" fontId="1" fillId="5"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461530</xdr:colOff>
      <xdr:row>58</xdr:row>
      <xdr:rowOff>112568</xdr:rowOff>
    </xdr:from>
    <xdr:to>
      <xdr:col>15</xdr:col>
      <xdr:colOff>25977</xdr:colOff>
      <xdr:row>70</xdr:row>
      <xdr:rowOff>45945</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530" y="13057909"/>
          <a:ext cx="8344765" cy="2219377"/>
        </a:xfrm>
        <a:prstGeom prst="rect">
          <a:avLst/>
        </a:prstGeom>
      </xdr:spPr>
    </xdr:pic>
    <xdr:clientData/>
  </xdr:twoCellAnchor>
  <xdr:twoCellAnchor editAs="oneCell">
    <xdr:from>
      <xdr:col>7</xdr:col>
      <xdr:colOff>337346</xdr:colOff>
      <xdr:row>0</xdr:row>
      <xdr:rowOff>71438</xdr:rowOff>
    </xdr:from>
    <xdr:to>
      <xdr:col>9</xdr:col>
      <xdr:colOff>539750</xdr:colOff>
      <xdr:row>3</xdr:row>
      <xdr:rowOff>11907</xdr:rowOff>
    </xdr:to>
    <xdr:pic>
      <xdr:nvPicPr>
        <xdr:cNvPr id="8" name="Picture 7"/>
        <xdr:cNvPicPr>
          <a:picLocks noChangeAspect="1"/>
        </xdr:cNvPicPr>
      </xdr:nvPicPr>
      <xdr:blipFill>
        <a:blip xmlns:r="http://schemas.openxmlformats.org/officeDocument/2006/relationships" r:embed="rId2">
          <a:duotone>
            <a:schemeClr val="accent3">
              <a:shade val="45000"/>
              <a:satMod val="135000"/>
            </a:schemeClr>
            <a:prstClr val="white"/>
          </a:duotone>
          <a:extLst>
            <a:ext uri="{BEBA8EAE-BF5A-486C-A8C5-ECC9F3942E4B}">
              <a14:imgProps xmlns:a14="http://schemas.microsoft.com/office/drawing/2010/main">
                <a14:imgLayer r:embed="rId3">
                  <a14:imgEffect>
                    <a14:saturation sat="0"/>
                  </a14:imgEffect>
                </a14:imgLayer>
              </a14:imgProps>
            </a:ext>
            <a:ext uri="{28A0092B-C50C-407E-A947-70E740481C1C}">
              <a14:useLocalDpi xmlns:a14="http://schemas.microsoft.com/office/drawing/2010/main" val="0"/>
            </a:ext>
          </a:extLst>
        </a:blip>
        <a:stretch>
          <a:fillRect/>
        </a:stretch>
      </xdr:blipFill>
      <xdr:spPr>
        <a:xfrm>
          <a:off x="3778252" y="71438"/>
          <a:ext cx="1571623" cy="1500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k Glas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showGridLines="0" showRowColHeaders="0" tabSelected="1" showRuler="0" zoomScale="90" zoomScaleNormal="90" workbookViewId="0">
      <selection activeCell="B7" sqref="B7:O14"/>
    </sheetView>
  </sheetViews>
  <sheetFormatPr defaultRowHeight="15" x14ac:dyDescent="0.25"/>
  <cols>
    <col min="1" max="1" width="7" customWidth="1"/>
    <col min="2" max="2" width="5.28515625" customWidth="1"/>
    <col min="3" max="7" width="7.85546875" style="7" customWidth="1"/>
    <col min="8" max="8" width="10.85546875" style="7" customWidth="1"/>
    <col min="9" max="9" width="9.5703125" style="7" customWidth="1"/>
    <col min="10" max="11" width="10.5703125" style="7" customWidth="1"/>
    <col min="12" max="12" width="8.42578125" style="7" customWidth="1"/>
    <col min="13" max="14" width="10.85546875" customWidth="1"/>
    <col min="15" max="15" width="7.85546875" style="7" customWidth="1"/>
  </cols>
  <sheetData>
    <row r="1" spans="2:15" ht="108.75" customHeight="1" x14ac:dyDescent="0.25">
      <c r="B1" s="33"/>
      <c r="C1" s="33"/>
      <c r="D1" s="33"/>
      <c r="E1" s="33"/>
      <c r="F1" s="33"/>
      <c r="G1" s="33"/>
      <c r="H1" s="33"/>
      <c r="I1" s="33"/>
      <c r="J1" s="33"/>
      <c r="K1" s="33"/>
      <c r="L1" s="33"/>
      <c r="M1" s="33"/>
      <c r="N1" s="33"/>
      <c r="O1" s="33"/>
    </row>
    <row r="2" spans="2:15" ht="12.75" customHeight="1" x14ac:dyDescent="0.25">
      <c r="B2" s="33"/>
      <c r="C2" s="33"/>
      <c r="D2" s="33"/>
      <c r="E2" s="33"/>
      <c r="F2" s="33"/>
      <c r="G2" s="33"/>
      <c r="H2" s="33"/>
      <c r="I2" s="33"/>
      <c r="J2" s="33"/>
      <c r="K2" s="33"/>
      <c r="L2" s="33"/>
      <c r="M2" s="33"/>
      <c r="N2" s="33"/>
      <c r="O2" s="33"/>
    </row>
    <row r="3" spans="2:15" ht="0.75" customHeight="1" x14ac:dyDescent="0.25">
      <c r="B3" s="33"/>
      <c r="C3" s="33"/>
      <c r="D3" s="33"/>
      <c r="E3" s="33"/>
      <c r="F3" s="33"/>
      <c r="G3" s="33"/>
      <c r="H3" s="33"/>
      <c r="I3" s="33"/>
      <c r="J3" s="33"/>
      <c r="K3" s="33"/>
      <c r="L3" s="33"/>
      <c r="M3" s="33"/>
      <c r="N3" s="33"/>
      <c r="O3" s="33"/>
    </row>
    <row r="5" spans="2:15" ht="18" x14ac:dyDescent="0.25">
      <c r="B5" s="55" t="s">
        <v>17</v>
      </c>
      <c r="C5" s="56"/>
      <c r="D5" s="56"/>
      <c r="E5" s="56"/>
      <c r="F5" s="56"/>
      <c r="G5" s="56"/>
      <c r="H5" s="56"/>
      <c r="I5" s="56"/>
      <c r="J5" s="56"/>
      <c r="K5" s="56"/>
      <c r="L5" s="56"/>
      <c r="M5" s="56"/>
      <c r="N5" s="56"/>
      <c r="O5" s="56"/>
    </row>
    <row r="6" spans="2:15" ht="15.75" thickBot="1" x14ac:dyDescent="0.3">
      <c r="B6" s="57"/>
      <c r="C6" s="58"/>
      <c r="D6" s="58"/>
      <c r="E6" s="58"/>
      <c r="F6" s="58"/>
      <c r="G6" s="58"/>
      <c r="H6" s="58"/>
      <c r="I6" s="58"/>
      <c r="J6" s="58"/>
      <c r="K6" s="58"/>
      <c r="L6" s="58"/>
      <c r="M6" s="57"/>
      <c r="N6" s="57"/>
      <c r="O6" s="58"/>
    </row>
    <row r="7" spans="2:15" ht="22.5" customHeight="1" thickTop="1" x14ac:dyDescent="0.25">
      <c r="B7" s="36" t="s">
        <v>19</v>
      </c>
      <c r="C7" s="37"/>
      <c r="D7" s="37"/>
      <c r="E7" s="37"/>
      <c r="F7" s="37"/>
      <c r="G7" s="37"/>
      <c r="H7" s="37"/>
      <c r="I7" s="37"/>
      <c r="J7" s="37"/>
      <c r="K7" s="37"/>
      <c r="L7" s="37"/>
      <c r="M7" s="37"/>
      <c r="N7" s="37"/>
      <c r="O7" s="38"/>
    </row>
    <row r="8" spans="2:15" ht="22.5" customHeight="1" x14ac:dyDescent="0.25">
      <c r="B8" s="39"/>
      <c r="C8" s="40"/>
      <c r="D8" s="40"/>
      <c r="E8" s="40"/>
      <c r="F8" s="40"/>
      <c r="G8" s="40"/>
      <c r="H8" s="40"/>
      <c r="I8" s="40"/>
      <c r="J8" s="40"/>
      <c r="K8" s="40"/>
      <c r="L8" s="40"/>
      <c r="M8" s="40"/>
      <c r="N8" s="40"/>
      <c r="O8" s="41"/>
    </row>
    <row r="9" spans="2:15" ht="22.5" customHeight="1" x14ac:dyDescent="0.25">
      <c r="B9" s="39"/>
      <c r="C9" s="40"/>
      <c r="D9" s="40"/>
      <c r="E9" s="40"/>
      <c r="F9" s="40"/>
      <c r="G9" s="40"/>
      <c r="H9" s="40"/>
      <c r="I9" s="40"/>
      <c r="J9" s="40"/>
      <c r="K9" s="40"/>
      <c r="L9" s="40"/>
      <c r="M9" s="40"/>
      <c r="N9" s="40"/>
      <c r="O9" s="41"/>
    </row>
    <row r="10" spans="2:15" ht="22.5" customHeight="1" x14ac:dyDescent="0.25">
      <c r="B10" s="39"/>
      <c r="C10" s="40"/>
      <c r="D10" s="40"/>
      <c r="E10" s="40"/>
      <c r="F10" s="40"/>
      <c r="G10" s="40"/>
      <c r="H10" s="40"/>
      <c r="I10" s="40"/>
      <c r="J10" s="40"/>
      <c r="K10" s="40"/>
      <c r="L10" s="40"/>
      <c r="M10" s="40"/>
      <c r="N10" s="40"/>
      <c r="O10" s="41"/>
    </row>
    <row r="11" spans="2:15" ht="22.5" customHeight="1" x14ac:dyDescent="0.25">
      <c r="B11" s="39"/>
      <c r="C11" s="40"/>
      <c r="D11" s="40"/>
      <c r="E11" s="40"/>
      <c r="F11" s="40"/>
      <c r="G11" s="40"/>
      <c r="H11" s="40"/>
      <c r="I11" s="40"/>
      <c r="J11" s="40"/>
      <c r="K11" s="40"/>
      <c r="L11" s="40"/>
      <c r="M11" s="40"/>
      <c r="N11" s="40"/>
      <c r="O11" s="41"/>
    </row>
    <row r="12" spans="2:15" ht="22.5" customHeight="1" x14ac:dyDescent="0.25">
      <c r="B12" s="39"/>
      <c r="C12" s="40"/>
      <c r="D12" s="40"/>
      <c r="E12" s="40"/>
      <c r="F12" s="40"/>
      <c r="G12" s="40"/>
      <c r="H12" s="40"/>
      <c r="I12" s="40"/>
      <c r="J12" s="40"/>
      <c r="K12" s="40"/>
      <c r="L12" s="40"/>
      <c r="M12" s="40"/>
      <c r="N12" s="40"/>
      <c r="O12" s="41"/>
    </row>
    <row r="13" spans="2:15" ht="22.5" customHeight="1" x14ac:dyDescent="0.25">
      <c r="B13" s="39"/>
      <c r="C13" s="40"/>
      <c r="D13" s="40"/>
      <c r="E13" s="40"/>
      <c r="F13" s="40"/>
      <c r="G13" s="40"/>
      <c r="H13" s="40"/>
      <c r="I13" s="40"/>
      <c r="J13" s="40"/>
      <c r="K13" s="40"/>
      <c r="L13" s="40"/>
      <c r="M13" s="40"/>
      <c r="N13" s="40"/>
      <c r="O13" s="41"/>
    </row>
    <row r="14" spans="2:15" ht="29.25" customHeight="1" thickBot="1" x14ac:dyDescent="0.3">
      <c r="B14" s="42"/>
      <c r="C14" s="43"/>
      <c r="D14" s="43"/>
      <c r="E14" s="43"/>
      <c r="F14" s="43"/>
      <c r="G14" s="43"/>
      <c r="H14" s="43"/>
      <c r="I14" s="43"/>
      <c r="J14" s="43"/>
      <c r="K14" s="43"/>
      <c r="L14" s="43"/>
      <c r="M14" s="43"/>
      <c r="N14" s="43"/>
      <c r="O14" s="44"/>
    </row>
    <row r="15" spans="2:15" ht="16.5" thickTop="1" thickBot="1" x14ac:dyDescent="0.3">
      <c r="B15" s="57"/>
      <c r="C15" s="58"/>
      <c r="D15" s="58"/>
      <c r="E15" s="58"/>
      <c r="F15" s="58"/>
      <c r="G15" s="58"/>
      <c r="H15" s="58"/>
      <c r="I15" s="58"/>
      <c r="J15" s="58"/>
      <c r="K15" s="58"/>
      <c r="L15" s="58"/>
      <c r="M15" s="57"/>
      <c r="N15" s="57"/>
      <c r="O15" s="58"/>
    </row>
    <row r="16" spans="2:15" ht="16.5" thickTop="1" thickBot="1" x14ac:dyDescent="0.3">
      <c r="B16" s="59" t="s">
        <v>12</v>
      </c>
      <c r="C16" s="60"/>
      <c r="D16" s="60"/>
      <c r="E16" s="61"/>
      <c r="F16" s="63">
        <v>240</v>
      </c>
      <c r="G16" s="58"/>
      <c r="H16" s="58"/>
      <c r="I16" s="58"/>
      <c r="J16" s="58"/>
      <c r="K16" s="58"/>
      <c r="L16" s="58"/>
      <c r="M16" s="57"/>
      <c r="N16" s="57"/>
      <c r="O16" s="58"/>
    </row>
    <row r="17" spans="2:15" ht="15.75" thickTop="1" x14ac:dyDescent="0.25">
      <c r="B17" s="57"/>
      <c r="C17" s="58"/>
      <c r="D17" s="58"/>
      <c r="E17" s="58"/>
      <c r="F17" s="58"/>
      <c r="G17" s="58"/>
      <c r="H17" s="58"/>
      <c r="I17" s="58"/>
      <c r="J17" s="58"/>
      <c r="K17" s="58"/>
      <c r="L17" s="58"/>
      <c r="M17" s="57"/>
      <c r="N17" s="57"/>
      <c r="O17" s="58"/>
    </row>
    <row r="18" spans="2:15" x14ac:dyDescent="0.25">
      <c r="B18" s="57"/>
      <c r="C18" s="58"/>
      <c r="D18" s="58"/>
      <c r="E18" s="58"/>
      <c r="F18" s="58"/>
      <c r="G18" s="58"/>
      <c r="H18" s="58"/>
      <c r="I18" s="58"/>
      <c r="J18" s="58"/>
      <c r="K18" s="58"/>
      <c r="L18" s="58"/>
      <c r="M18" s="57"/>
      <c r="N18" s="57"/>
      <c r="O18" s="58"/>
    </row>
    <row r="19" spans="2:15" x14ac:dyDescent="0.25">
      <c r="B19" s="59" t="s">
        <v>13</v>
      </c>
      <c r="C19" s="60"/>
      <c r="D19" s="60"/>
      <c r="E19" s="60"/>
      <c r="F19" s="60"/>
      <c r="G19" s="60"/>
      <c r="H19" s="60"/>
      <c r="I19" s="58"/>
      <c r="J19" s="58"/>
      <c r="K19" s="58"/>
      <c r="L19" s="58"/>
      <c r="M19" s="57"/>
      <c r="N19" s="57"/>
      <c r="O19" s="58"/>
    </row>
    <row r="20" spans="2:15" ht="15.75" thickBot="1" x14ac:dyDescent="0.3">
      <c r="B20" s="57"/>
      <c r="C20" s="62"/>
      <c r="D20" s="58"/>
      <c r="E20" s="58"/>
      <c r="F20" s="58"/>
      <c r="G20" s="58"/>
      <c r="H20" s="58"/>
      <c r="I20" s="58"/>
      <c r="J20" s="58"/>
      <c r="K20" s="58"/>
      <c r="L20" s="58"/>
      <c r="M20" s="57"/>
      <c r="N20" s="57"/>
      <c r="O20" s="58"/>
    </row>
    <row r="21" spans="2:15" s="1" customFormat="1" ht="15.75" thickTop="1" x14ac:dyDescent="0.25">
      <c r="B21" s="49"/>
      <c r="C21" s="53" t="s">
        <v>0</v>
      </c>
      <c r="D21" s="32" t="s">
        <v>1</v>
      </c>
      <c r="E21" s="30" t="s">
        <v>2</v>
      </c>
      <c r="F21" s="32" t="s">
        <v>3</v>
      </c>
      <c r="G21" s="30" t="s">
        <v>4</v>
      </c>
      <c r="H21" s="32" t="s">
        <v>5</v>
      </c>
      <c r="I21" s="30" t="s">
        <v>6</v>
      </c>
      <c r="J21" s="32" t="s">
        <v>7</v>
      </c>
      <c r="K21" s="30" t="s">
        <v>8</v>
      </c>
      <c r="L21" s="32" t="s">
        <v>9</v>
      </c>
      <c r="M21" s="51" t="s">
        <v>10</v>
      </c>
      <c r="N21" s="52"/>
      <c r="O21" s="47" t="s">
        <v>11</v>
      </c>
    </row>
    <row r="22" spans="2:15" s="1" customFormat="1" ht="15.75" thickBot="1" x14ac:dyDescent="0.3">
      <c r="B22" s="50"/>
      <c r="C22" s="54"/>
      <c r="D22" s="31"/>
      <c r="E22" s="31"/>
      <c r="F22" s="31"/>
      <c r="G22" s="31"/>
      <c r="H22" s="31"/>
      <c r="I22" s="31"/>
      <c r="J22" s="31"/>
      <c r="K22" s="31"/>
      <c r="L22" s="31"/>
      <c r="M22" s="2" t="s">
        <v>14</v>
      </c>
      <c r="N22" s="3" t="s">
        <v>15</v>
      </c>
      <c r="O22" s="48"/>
    </row>
    <row r="23" spans="2:15" ht="15.75" thickTop="1" x14ac:dyDescent="0.25">
      <c r="B23" s="4">
        <v>1</v>
      </c>
      <c r="C23" s="12">
        <f>((F16/12)*12)</f>
        <v>240</v>
      </c>
      <c r="D23" s="13">
        <f>((F16/12)*11)</f>
        <v>220</v>
      </c>
      <c r="E23" s="14">
        <f>((F16/12)*10)</f>
        <v>200</v>
      </c>
      <c r="F23" s="13">
        <f>((F16/12)*9)</f>
        <v>180</v>
      </c>
      <c r="G23" s="14">
        <f>((F16/12)*8)</f>
        <v>160</v>
      </c>
      <c r="H23" s="13">
        <f>((F16/12)*7)</f>
        <v>140</v>
      </c>
      <c r="I23" s="14">
        <f>((F16/12)*6)</f>
        <v>120</v>
      </c>
      <c r="J23" s="13">
        <f>((F16/12)*5)</f>
        <v>100</v>
      </c>
      <c r="K23" s="14">
        <f>((F16/12)*4)</f>
        <v>80</v>
      </c>
      <c r="L23" s="13">
        <f>((F16/12)*3)</f>
        <v>60</v>
      </c>
      <c r="M23" s="15">
        <f>((F16/12)*2)</f>
        <v>40</v>
      </c>
      <c r="N23" s="15">
        <f>((F16/12)*2)</f>
        <v>40</v>
      </c>
      <c r="O23" s="16">
        <f>((F16/12)*1)</f>
        <v>20</v>
      </c>
    </row>
    <row r="24" spans="2:15" x14ac:dyDescent="0.25">
      <c r="B24" s="5">
        <v>2</v>
      </c>
      <c r="C24" s="17">
        <f>((F16/12)*11+((F16/12)*0.97))</f>
        <v>239.4</v>
      </c>
      <c r="D24" s="18">
        <f>((F16/12)*10+((F16/12)*0.97))</f>
        <v>219.4</v>
      </c>
      <c r="E24" s="19">
        <f>((F16/12)*9+((F16/12)*0.97))</f>
        <v>199.4</v>
      </c>
      <c r="F24" s="18">
        <f>((F16/12)*8+((F16/12)*0.97))</f>
        <v>179.4</v>
      </c>
      <c r="G24" s="19">
        <f>((F16/12)*7+((F16/12)*0.97))</f>
        <v>159.4</v>
      </c>
      <c r="H24" s="18">
        <f>((F16/12)*6+((F16/12)*0.97))</f>
        <v>139.4</v>
      </c>
      <c r="I24" s="19">
        <f>((F16/12)*5+((F16/12)*0.97))</f>
        <v>119.4</v>
      </c>
      <c r="J24" s="18">
        <f>((F16/12)*4+((F16/12)*0.97))</f>
        <v>99.4</v>
      </c>
      <c r="K24" s="19">
        <f>((F16/12)*3+((F16/12)*0.97))</f>
        <v>79.400000000000006</v>
      </c>
      <c r="L24" s="18">
        <f>((F16/12)*2+((F16/12)*0.97))</f>
        <v>59.4</v>
      </c>
      <c r="M24" s="20">
        <f>((F16/12)*1+((F16/12)*0.96))</f>
        <v>39.200000000000003</v>
      </c>
      <c r="N24" s="20">
        <f>((F16/12)*1+((F16/12)*0.97))</f>
        <v>39.4</v>
      </c>
      <c r="O24" s="21">
        <f>((F16/12)*0+((F16/12)*0.97))</f>
        <v>19.399999999999999</v>
      </c>
    </row>
    <row r="25" spans="2:15" x14ac:dyDescent="0.25">
      <c r="B25" s="5">
        <v>3</v>
      </c>
      <c r="C25" s="17">
        <f>((F16/12)*11+((F16/12)*0.93))</f>
        <v>238.6</v>
      </c>
      <c r="D25" s="18">
        <f>((F16/12)*10+((F16/12)*0.94))</f>
        <v>218.8</v>
      </c>
      <c r="E25" s="19">
        <f>((F16/12)*9+((F16/12)*0.93))</f>
        <v>198.6</v>
      </c>
      <c r="F25" s="18">
        <f>((F16/12)*8+((F16/12)*0.94))</f>
        <v>178.8</v>
      </c>
      <c r="G25" s="19">
        <f>((F16/12)*7+((F16/12)*0.94))</f>
        <v>158.80000000000001</v>
      </c>
      <c r="H25" s="18">
        <f>((F16/12)*6+((F16/12)*0.93))</f>
        <v>138.6</v>
      </c>
      <c r="I25" s="19">
        <f>((F16/12)*5+((F16/12)*0.94))</f>
        <v>118.8</v>
      </c>
      <c r="J25" s="18">
        <f>((F16/12)*4+((F16/12)*0.93))</f>
        <v>98.6</v>
      </c>
      <c r="K25" s="19">
        <f>((F16/12)*3+((F16/12)*0.94))</f>
        <v>78.8</v>
      </c>
      <c r="L25" s="18">
        <f>((F16/12)*2+((F16/12)*0.94))</f>
        <v>58.8</v>
      </c>
      <c r="M25" s="20">
        <f>((F16/12)*1+((F16/12)*0.93))</f>
        <v>38.6</v>
      </c>
      <c r="N25" s="20">
        <f>((F16/12)*1+((F16/12)*0.93))</f>
        <v>38.6</v>
      </c>
      <c r="O25" s="21">
        <f>((F16/12)*0+((F16/12)*0.94))</f>
        <v>18.799999999999997</v>
      </c>
    </row>
    <row r="26" spans="2:15" x14ac:dyDescent="0.25">
      <c r="B26" s="5">
        <v>4</v>
      </c>
      <c r="C26" s="17">
        <f>((F16/12)*11+((F16/12)*0.9))</f>
        <v>238</v>
      </c>
      <c r="D26" s="18">
        <f>((F16/12)*10+((F16/12)*0.9))</f>
        <v>218</v>
      </c>
      <c r="E26" s="19">
        <f>((F16/12)*9+((F16/12)*0.9))</f>
        <v>198</v>
      </c>
      <c r="F26" s="18">
        <f>((F16/12)*8+((F16/12)*0.9))</f>
        <v>178</v>
      </c>
      <c r="G26" s="19">
        <f>((F16/12)*7+((F16/12)*0.9))</f>
        <v>158</v>
      </c>
      <c r="H26" s="18">
        <f>((F16/12)*6+((F16/12)*0.9))</f>
        <v>138</v>
      </c>
      <c r="I26" s="19">
        <f>((F16/12)*5+((F16/12)*0.9))</f>
        <v>118</v>
      </c>
      <c r="J26" s="18">
        <f>((F16/12)*4+((F16/12)*0.9))</f>
        <v>98</v>
      </c>
      <c r="K26" s="19">
        <f>((F16/12)*3+((F16/12)*0.9))</f>
        <v>78</v>
      </c>
      <c r="L26" s="18">
        <f>((F16/12)*2+((F16/12)*0.9))</f>
        <v>58</v>
      </c>
      <c r="M26" s="20">
        <f>((F16/12)*1+((F16/12)*0.89))</f>
        <v>37.799999999999997</v>
      </c>
      <c r="N26" s="20">
        <f>((F16/12)*1+((F16/12)*0.9))</f>
        <v>38</v>
      </c>
      <c r="O26" s="21">
        <f>((F16/12)*0+((F16/12)*0.9))</f>
        <v>18</v>
      </c>
    </row>
    <row r="27" spans="2:15" x14ac:dyDescent="0.25">
      <c r="B27" s="5">
        <v>5</v>
      </c>
      <c r="C27" s="17">
        <f>((F16/12)*11+((F16/12)*0.87))</f>
        <v>237.4</v>
      </c>
      <c r="D27" s="18">
        <f>((F16/12)*10+((F16/12)*0.87))</f>
        <v>217.4</v>
      </c>
      <c r="E27" s="19">
        <f>((F16/12)*9+((F16/12)*0.87))</f>
        <v>197.4</v>
      </c>
      <c r="F27" s="18">
        <f>((F16/12)*8+((F16/12)*0.87))</f>
        <v>177.4</v>
      </c>
      <c r="G27" s="19">
        <f>((F16/12)*7+((F16/12)*0.87))</f>
        <v>157.4</v>
      </c>
      <c r="H27" s="18">
        <f>((F16/12)*6+((F16/12)*0.87))</f>
        <v>137.4</v>
      </c>
      <c r="I27" s="19">
        <f>((F16/12)*5+((F16/12)*0.87))</f>
        <v>117.4</v>
      </c>
      <c r="J27" s="18">
        <f>((F16/12)*4+((F16/12)*0.87))</f>
        <v>97.4</v>
      </c>
      <c r="K27" s="19">
        <f>((F16/12)*3+((F16/12)*0.87))</f>
        <v>77.400000000000006</v>
      </c>
      <c r="L27" s="18">
        <f>((F16/12)*2+((F16/12)*0.87))</f>
        <v>57.4</v>
      </c>
      <c r="M27" s="20">
        <f>((F16/12)*1+((F16/12)*0.86))</f>
        <v>37.200000000000003</v>
      </c>
      <c r="N27" s="20">
        <f>((F16/12)*1+((F16/12)*0.86))</f>
        <v>37.200000000000003</v>
      </c>
      <c r="O27" s="21">
        <f>((F16/12)*0+((F16/12)*0.87))</f>
        <v>17.399999999999999</v>
      </c>
    </row>
    <row r="28" spans="2:15" x14ac:dyDescent="0.25">
      <c r="B28" s="5">
        <v>6</v>
      </c>
      <c r="C28" s="17">
        <f>((F16/12)*11+((F16/12)*0.83))</f>
        <v>236.6</v>
      </c>
      <c r="D28" s="18">
        <f>((F16/12)*10+((F16/12)*0.84))</f>
        <v>216.8</v>
      </c>
      <c r="E28" s="19">
        <f>((F16/12)*9+((F16/12)*0.83))</f>
        <v>196.6</v>
      </c>
      <c r="F28" s="18">
        <f>((F16/12)*8+((F16/12)*0.84))</f>
        <v>176.8</v>
      </c>
      <c r="G28" s="19">
        <f>((F16/12)*7+((F16/12)*0.84))</f>
        <v>156.80000000000001</v>
      </c>
      <c r="H28" s="18">
        <f>((F16/12)*6+((F16/12)*0.83))</f>
        <v>136.6</v>
      </c>
      <c r="I28" s="19">
        <f>((F16/12)*5+((F16/12)*0.84))</f>
        <v>116.8</v>
      </c>
      <c r="J28" s="18">
        <f>((F16/12)*4+((F16/12)*0.83))</f>
        <v>96.6</v>
      </c>
      <c r="K28" s="19">
        <f>((F16/12)*3+((F16/12)*0.84))</f>
        <v>76.8</v>
      </c>
      <c r="L28" s="18">
        <f>((F16/12)*2+((F16/12)*0.84))</f>
        <v>56.8</v>
      </c>
      <c r="M28" s="20">
        <f>((F16/12)*1+((F16/12)*0.82))</f>
        <v>36.4</v>
      </c>
      <c r="N28" s="20">
        <f>((F16/12)*1+((F16/12)*0.83))</f>
        <v>36.599999999999994</v>
      </c>
      <c r="O28" s="21">
        <f>((F16/12)*0+((F16/12)*0.84))</f>
        <v>16.8</v>
      </c>
    </row>
    <row r="29" spans="2:15" x14ac:dyDescent="0.25">
      <c r="B29" s="5">
        <v>7</v>
      </c>
      <c r="C29" s="17">
        <f>((F16/12)*11+((F16/12)*0.8))</f>
        <v>236</v>
      </c>
      <c r="D29" s="18">
        <f>((F16/12)*10+((F16/12)*0.81))</f>
        <v>216.2</v>
      </c>
      <c r="E29" s="19">
        <f>((F16/12)*9+((F16/12)*0.8))</f>
        <v>196</v>
      </c>
      <c r="F29" s="18">
        <f>((F16/12)*8+((F16/12)*0.81))</f>
        <v>176.2</v>
      </c>
      <c r="G29" s="19">
        <f>((F16/12)*7+((F16/12)*0.81))</f>
        <v>156.19999999999999</v>
      </c>
      <c r="H29" s="18">
        <f>((F16/12)*6+((F16/12)*0.8))</f>
        <v>136</v>
      </c>
      <c r="I29" s="19">
        <f>((F16/12)*5+((F16/12)*0.81))</f>
        <v>116.2</v>
      </c>
      <c r="J29" s="18">
        <f>((F16/12)*4+((F16/12)*0.8))</f>
        <v>96</v>
      </c>
      <c r="K29" s="19">
        <f>((F16/12)*3+((F16/12)*0.81))</f>
        <v>76.2</v>
      </c>
      <c r="L29" s="18">
        <f>((F16/12)*2+((F16/12)*0.81))</f>
        <v>56.2</v>
      </c>
      <c r="M29" s="20">
        <f>((F16/12)*1+((F16/12)*0.79))</f>
        <v>35.799999999999997</v>
      </c>
      <c r="N29" s="20">
        <f>((F16/12)*1+((F16/12)*0.79))</f>
        <v>35.799999999999997</v>
      </c>
      <c r="O29" s="21">
        <f>((F16/12)*0+((F16/12)*0.81))</f>
        <v>16.200000000000003</v>
      </c>
    </row>
    <row r="30" spans="2:15" x14ac:dyDescent="0.25">
      <c r="B30" s="5">
        <v>8</v>
      </c>
      <c r="C30" s="17">
        <f>((F16/12)*11+((F16/12)*0.77))</f>
        <v>235.4</v>
      </c>
      <c r="D30" s="18">
        <f>((F16/12)*10+((F16/12)*0.77))</f>
        <v>215.4</v>
      </c>
      <c r="E30" s="19">
        <f>((F16/12)*9+((F16/12)*0.77))</f>
        <v>195.4</v>
      </c>
      <c r="F30" s="18">
        <f>((F16/12)*8+((F16/12)*0.77))</f>
        <v>175.4</v>
      </c>
      <c r="G30" s="19">
        <f>((F16/12)*7+((F16/12)*0.77))</f>
        <v>155.4</v>
      </c>
      <c r="H30" s="18">
        <f>((F16/12)*6+((F16/12)*0.77))</f>
        <v>135.4</v>
      </c>
      <c r="I30" s="19">
        <f>((F16/12)*5+((F16/12)*0.77))</f>
        <v>115.4</v>
      </c>
      <c r="J30" s="18">
        <f>((F16/12)*4+((F16/12)*0.77))</f>
        <v>95.4</v>
      </c>
      <c r="K30" s="19">
        <f>((F16/12)*3+((F16/12)*0.77))</f>
        <v>75.400000000000006</v>
      </c>
      <c r="L30" s="18">
        <f>((F16/12)*2+((F16/12)*0.77))</f>
        <v>55.4</v>
      </c>
      <c r="M30" s="20">
        <f>((F16/12)*1+((F16/12)*0.75))</f>
        <v>35</v>
      </c>
      <c r="N30" s="20">
        <f>((F16/12)*1+((F16/12)*0.76))</f>
        <v>35.200000000000003</v>
      </c>
      <c r="O30" s="21">
        <f>((F16/12)*0+((F16/12)*0.77))</f>
        <v>15.4</v>
      </c>
    </row>
    <row r="31" spans="2:15" x14ac:dyDescent="0.25">
      <c r="B31" s="5">
        <v>9</v>
      </c>
      <c r="C31" s="17">
        <f>((F16/12)*11+((F16/12)*0.73))</f>
        <v>234.6</v>
      </c>
      <c r="D31" s="18">
        <f>((F16/12)*10+((F16/12)*0.74))</f>
        <v>214.8</v>
      </c>
      <c r="E31" s="19">
        <f>((F16/12)*9+((F16/12)*0.73))</f>
        <v>194.6</v>
      </c>
      <c r="F31" s="18">
        <f>((F16/12)*8+((F16/12)*0.74))</f>
        <v>174.8</v>
      </c>
      <c r="G31" s="19">
        <f>((F16/12)*7+((F16/12)*0.74))</f>
        <v>154.80000000000001</v>
      </c>
      <c r="H31" s="18">
        <f>((F16/12)*6+((F16/12)*0.73))</f>
        <v>134.6</v>
      </c>
      <c r="I31" s="19">
        <f>((F16/12)*5+((F16/12)*0.74))</f>
        <v>114.8</v>
      </c>
      <c r="J31" s="18">
        <f>((F16/12)*4+((F16/12)*0.73))</f>
        <v>94.6</v>
      </c>
      <c r="K31" s="19">
        <f>((F16/12)*3+((F16/12)*0.74))</f>
        <v>74.8</v>
      </c>
      <c r="L31" s="18">
        <f>((F16/12)*2+((F16/12)*0.74))</f>
        <v>54.8</v>
      </c>
      <c r="M31" s="20">
        <f>((F16/12)*1+((F16/12)*0.71))</f>
        <v>34.200000000000003</v>
      </c>
      <c r="N31" s="20">
        <f>((F16/12)*1+((F16/12)*0.72))</f>
        <v>34.4</v>
      </c>
      <c r="O31" s="21">
        <f>((F16/12)*0+((F16/12)*0.74))</f>
        <v>14.8</v>
      </c>
    </row>
    <row r="32" spans="2:15" x14ac:dyDescent="0.25">
      <c r="B32" s="5">
        <v>10</v>
      </c>
      <c r="C32" s="17">
        <f>((F16/12)*11+((F16/12)*0.7))</f>
        <v>234</v>
      </c>
      <c r="D32" s="18">
        <f>((F16/12)*10+((F16/12)*0.71))</f>
        <v>214.2</v>
      </c>
      <c r="E32" s="19">
        <f>((F16/12)*9+((F16/12)*0.7))</f>
        <v>194</v>
      </c>
      <c r="F32" s="18">
        <f>((F16/12)*8+((F16/12)*0.71))</f>
        <v>174.2</v>
      </c>
      <c r="G32" s="19">
        <f>((F16/12)*7+((F16/12)*0.71))</f>
        <v>154.19999999999999</v>
      </c>
      <c r="H32" s="18">
        <f>((F16/12)*6+((F16/12)*0.7))</f>
        <v>134</v>
      </c>
      <c r="I32" s="19">
        <f>((F16/12)*5+((F16/12)*0.71))</f>
        <v>114.2</v>
      </c>
      <c r="J32" s="18">
        <f>((F16/12)*4+((F16/12)*0.7))</f>
        <v>94</v>
      </c>
      <c r="K32" s="19">
        <f>((F16/12)*3+((F16/12)*0.71))</f>
        <v>74.2</v>
      </c>
      <c r="L32" s="18">
        <f>((F16/12)*2+((F16/12)*0.71))</f>
        <v>54.2</v>
      </c>
      <c r="M32" s="20">
        <f>((F16/12)*1+((F16/12)*0.68))</f>
        <v>33.6</v>
      </c>
      <c r="N32" s="20">
        <f>((F16/12)*1+((F16/12)*0.69))</f>
        <v>33.799999999999997</v>
      </c>
      <c r="O32" s="21">
        <f>((F16/12)*0+((F16/12)*0.71))</f>
        <v>14.2</v>
      </c>
    </row>
    <row r="33" spans="2:15" x14ac:dyDescent="0.25">
      <c r="B33" s="5">
        <v>11</v>
      </c>
      <c r="C33" s="17">
        <f>((F16/12)*11+((F16/12)*0.67))</f>
        <v>233.4</v>
      </c>
      <c r="D33" s="18">
        <f>((F16/12)*10+((F16/12)*0.68))</f>
        <v>213.6</v>
      </c>
      <c r="E33" s="19">
        <f>((F16/12)*9+((F16/12)*0.67))</f>
        <v>193.4</v>
      </c>
      <c r="F33" s="18">
        <f>((F16/12)*8+((F16/12)*0.68))</f>
        <v>173.6</v>
      </c>
      <c r="G33" s="19">
        <f>((F16/12)*7+((F16/12)*0.68))</f>
        <v>153.6</v>
      </c>
      <c r="H33" s="18">
        <f>((F16/12)*6+((F16/12)*0.67))</f>
        <v>133.4</v>
      </c>
      <c r="I33" s="19">
        <f>((F16/12)*5+((F16/12)*0.68))</f>
        <v>113.6</v>
      </c>
      <c r="J33" s="18">
        <f>((F16/12)*4+((F16/12)*0.67))</f>
        <v>93.4</v>
      </c>
      <c r="K33" s="19">
        <f>((F16/12)*3+((F16/12)*0.68))</f>
        <v>73.599999999999994</v>
      </c>
      <c r="L33" s="18">
        <f>((F16/12)*2+((F16/12)*0.68))</f>
        <v>53.6</v>
      </c>
      <c r="M33" s="20">
        <f>((F16/12)*1+((F16/12)*0.64))</f>
        <v>32.799999999999997</v>
      </c>
      <c r="N33" s="20">
        <f>((F16/12)*1+((F16/12)*0.66))</f>
        <v>33.200000000000003</v>
      </c>
      <c r="O33" s="21">
        <f>((F16/12)*0+((F16/12)*0.68))</f>
        <v>13.600000000000001</v>
      </c>
    </row>
    <row r="34" spans="2:15" x14ac:dyDescent="0.25">
      <c r="B34" s="5">
        <v>12</v>
      </c>
      <c r="C34" s="17">
        <f>((F16/12)*11+((F16/12)*0.63))</f>
        <v>232.6</v>
      </c>
      <c r="D34" s="18">
        <f>((F16/12)*10+((F16/12)*0.65))</f>
        <v>213</v>
      </c>
      <c r="E34" s="19">
        <f>((F16/12)*9+((F16/12)*0.63))</f>
        <v>192.6</v>
      </c>
      <c r="F34" s="18">
        <f>((F16/12)*8+((F16/12)*0.65))</f>
        <v>173</v>
      </c>
      <c r="G34" s="19">
        <f>((F16/12)*7+((F16/12)*0.65))</f>
        <v>153</v>
      </c>
      <c r="H34" s="18">
        <f>((F16/12)*6+((F16/12)*0.63))</f>
        <v>132.6</v>
      </c>
      <c r="I34" s="19">
        <f>((F16/12)*5+((F16/12)*0.65))</f>
        <v>113</v>
      </c>
      <c r="J34" s="18">
        <f>((F16/12)*4+((F16/12)*0.63))</f>
        <v>92.6</v>
      </c>
      <c r="K34" s="19">
        <f>((F16/12)*3+((F16/12)*0.65))</f>
        <v>73</v>
      </c>
      <c r="L34" s="18">
        <f>((F16/12)*2+((F16/12)*0.65))</f>
        <v>53</v>
      </c>
      <c r="M34" s="20">
        <f>((F16/12)*1+((F16/12)*0.61))</f>
        <v>32.200000000000003</v>
      </c>
      <c r="N34" s="20">
        <f>((F16/12)*1+((F16/12)*0.62))</f>
        <v>32.4</v>
      </c>
      <c r="O34" s="21">
        <f>((F16/12)*0+((F16/12)*0.65))</f>
        <v>13</v>
      </c>
    </row>
    <row r="35" spans="2:15" x14ac:dyDescent="0.25">
      <c r="B35" s="5">
        <v>13</v>
      </c>
      <c r="C35" s="17">
        <f>((F16/12)*11+((F16/12)*0.6))</f>
        <v>232</v>
      </c>
      <c r="D35" s="18">
        <f>((F16/12)*10+((F16/12)*0.61))</f>
        <v>212.2</v>
      </c>
      <c r="E35" s="19">
        <f>((F16/12)*9+((F16/12)*0.6))</f>
        <v>192</v>
      </c>
      <c r="F35" s="18">
        <f>((F16/12)*8+((F16/12)*0.61))</f>
        <v>172.2</v>
      </c>
      <c r="G35" s="19">
        <f>((F16/12)*7+((F16/12)*0.61))</f>
        <v>152.19999999999999</v>
      </c>
      <c r="H35" s="18">
        <f>((F16/12)*6+((F16/12)*0.6))</f>
        <v>132</v>
      </c>
      <c r="I35" s="19">
        <f>((F16/12)*5+((F16/12)*0.61))</f>
        <v>112.2</v>
      </c>
      <c r="J35" s="18">
        <f>((F16/12)*4+((F16/12)*0.6))</f>
        <v>92</v>
      </c>
      <c r="K35" s="19">
        <f>((F16/12)*3+((F16/12)*0.61))</f>
        <v>72.2</v>
      </c>
      <c r="L35" s="18">
        <f>((F16/12)*2+((F16/12)*0.61))</f>
        <v>52.2</v>
      </c>
      <c r="M35" s="20">
        <f>((F16/12)*1+((F16/12)*0.57))</f>
        <v>31.4</v>
      </c>
      <c r="N35" s="20">
        <f>((F16/12)*1+((F16/12)*0.59))</f>
        <v>31.799999999999997</v>
      </c>
      <c r="O35" s="21">
        <f>((F16/12)*0+((F16/12)*0.61))</f>
        <v>12.2</v>
      </c>
    </row>
    <row r="36" spans="2:15" x14ac:dyDescent="0.25">
      <c r="B36" s="5">
        <v>14</v>
      </c>
      <c r="C36" s="17">
        <f>((F16/12)*11+((F16/12)*0.57))</f>
        <v>231.4</v>
      </c>
      <c r="D36" s="18">
        <f>((F16/12)*10+((F16/12)*0.58))</f>
        <v>211.6</v>
      </c>
      <c r="E36" s="19">
        <f>((F16/12)*9+((F16/12)*0.57))</f>
        <v>191.4</v>
      </c>
      <c r="F36" s="18">
        <f>((F16/12)*8+((F16/12)*0.58))</f>
        <v>171.6</v>
      </c>
      <c r="G36" s="19">
        <f>((F16/12)*7+((F16/12)*0.58))</f>
        <v>151.6</v>
      </c>
      <c r="H36" s="18">
        <f>((F16/12)*6+((F16/12)*0.57))</f>
        <v>131.4</v>
      </c>
      <c r="I36" s="19">
        <f>((F16/12)*5+((F16/12)*0.58))</f>
        <v>111.6</v>
      </c>
      <c r="J36" s="18">
        <f>((F16/12)*4+((F16/12)*0.57))</f>
        <v>91.4</v>
      </c>
      <c r="K36" s="19">
        <f>((F16/12)*3+((F16/12)*0.58))</f>
        <v>71.599999999999994</v>
      </c>
      <c r="L36" s="18">
        <f>((F16/12)*2+((F16/12)*0.58))</f>
        <v>51.6</v>
      </c>
      <c r="M36" s="20">
        <f>((F16/12)*1+((F16/12)*0.54))</f>
        <v>30.8</v>
      </c>
      <c r="N36" s="20">
        <f>((F16/12)*1+((F16/12)*0.55))</f>
        <v>31</v>
      </c>
      <c r="O36" s="21">
        <f>((F16/12)*0+((F16/12)*0.58))</f>
        <v>11.6</v>
      </c>
    </row>
    <row r="37" spans="2:15" x14ac:dyDescent="0.25">
      <c r="B37" s="5">
        <v>15</v>
      </c>
      <c r="C37" s="17">
        <f>((F16/12)*11+((F16/12)*0.53))</f>
        <v>230.6</v>
      </c>
      <c r="D37" s="18">
        <f>((F16/12)*10+((F16/12)*0.55))</f>
        <v>211</v>
      </c>
      <c r="E37" s="19">
        <f>((F16/12)*9+((F16/12)*0.53))</f>
        <v>190.6</v>
      </c>
      <c r="F37" s="18">
        <f>((F16/12)*8+((F16/12)*0.55))</f>
        <v>171</v>
      </c>
      <c r="G37" s="19">
        <f>((F16/12)*7+((F16/12)*0.55))</f>
        <v>151</v>
      </c>
      <c r="H37" s="18">
        <f>((F16/12)*6+((F16/12)*0.53))</f>
        <v>130.6</v>
      </c>
      <c r="I37" s="19">
        <f>((F16/12)*5+((F16/12)*0.55))</f>
        <v>111</v>
      </c>
      <c r="J37" s="18">
        <f>((F16/12)*4+((F16/12)*0.53))</f>
        <v>90.6</v>
      </c>
      <c r="K37" s="19">
        <f>((F16/12)*3+((F16/12)*0.55))</f>
        <v>71</v>
      </c>
      <c r="L37" s="18">
        <f>((F16/12)*2+((F16/12)*0.55))</f>
        <v>51</v>
      </c>
      <c r="M37" s="20">
        <f>((F16/12)*1+((F16/12)*0.5))</f>
        <v>30</v>
      </c>
      <c r="N37" s="20">
        <f>((F16/12)*1+((F16/12)*0.52))</f>
        <v>30.4</v>
      </c>
      <c r="O37" s="21">
        <f>((F16/12)*0+((F16/12)*0.55))</f>
        <v>11</v>
      </c>
    </row>
    <row r="38" spans="2:15" x14ac:dyDescent="0.25">
      <c r="B38" s="5">
        <v>16</v>
      </c>
      <c r="C38" s="17">
        <f>((F16/12)*11+((F16/12)*0.5))</f>
        <v>230</v>
      </c>
      <c r="D38" s="18">
        <f>((F16/12)*10+((F16/12)*0.52))</f>
        <v>210.4</v>
      </c>
      <c r="E38" s="19">
        <f>((F16/12)*9+((F16/12)*0.5))</f>
        <v>190</v>
      </c>
      <c r="F38" s="18">
        <f>((F16/12)*8+((F16/12)*0.52))</f>
        <v>170.4</v>
      </c>
      <c r="G38" s="19">
        <f>((F16/12)*7+((F16/12)*0.52))</f>
        <v>150.4</v>
      </c>
      <c r="H38" s="18">
        <f>((F16/12)*6+((F16/12)*0.5))</f>
        <v>130</v>
      </c>
      <c r="I38" s="19">
        <f>((F16/12)*5+((F16/12)*0.52))</f>
        <v>110.4</v>
      </c>
      <c r="J38" s="18">
        <f>((F16/12)*4+((F16/12)*0.5))</f>
        <v>90</v>
      </c>
      <c r="K38" s="19">
        <f>((F16/12)*3+((F16/12)*0.52))</f>
        <v>70.400000000000006</v>
      </c>
      <c r="L38" s="18">
        <f>((F16/12)*2+((F16/12)*0.52))</f>
        <v>50.4</v>
      </c>
      <c r="M38" s="20">
        <f>((F16/12)*1+((F16/12)*0.46))</f>
        <v>29.200000000000003</v>
      </c>
      <c r="N38" s="20">
        <f>((F16/12)*1+((F16/12)*0.48))</f>
        <v>29.6</v>
      </c>
      <c r="O38" s="21">
        <f>((F16/12)*0+((F16/12)*0.52))</f>
        <v>10.4</v>
      </c>
    </row>
    <row r="39" spans="2:15" x14ac:dyDescent="0.25">
      <c r="B39" s="5">
        <v>17</v>
      </c>
      <c r="C39" s="17">
        <f>((F16/12)*11+((F16/12)*0.47))</f>
        <v>229.4</v>
      </c>
      <c r="D39" s="18">
        <f>((F16/12)*10+((F16/12)*0.48))</f>
        <v>209.6</v>
      </c>
      <c r="E39" s="19">
        <f>((F16/12)*9+((F16/12)*0.47))</f>
        <v>189.4</v>
      </c>
      <c r="F39" s="18">
        <f>((F16/12)*8+((F16/12)*0.48))</f>
        <v>169.6</v>
      </c>
      <c r="G39" s="19">
        <f>((F16/12)*7+((F16/12)*0.48))</f>
        <v>149.6</v>
      </c>
      <c r="H39" s="18">
        <f>((F16/12)*6+((F16/12)*0.47))</f>
        <v>129.4</v>
      </c>
      <c r="I39" s="19">
        <f>((F16/12)*5+((F16/12)*0.48))</f>
        <v>109.6</v>
      </c>
      <c r="J39" s="18">
        <f>((F16/12)*4+((F16/12)*0.47))</f>
        <v>89.4</v>
      </c>
      <c r="K39" s="19">
        <f>((F16/12)*3+((F16/12)*0.48))</f>
        <v>69.599999999999994</v>
      </c>
      <c r="L39" s="18">
        <f>((F16/12)*2+((F16/12)*0.48))</f>
        <v>49.6</v>
      </c>
      <c r="M39" s="20">
        <f>((F16/12)*1+((F16/12)*0.43))</f>
        <v>28.6</v>
      </c>
      <c r="N39" s="20">
        <f>((F16/12)*1+((F16/12)*0.45))</f>
        <v>29</v>
      </c>
      <c r="O39" s="21">
        <f>((F16/12)*0+((F16/12)*0.48))</f>
        <v>9.6</v>
      </c>
    </row>
    <row r="40" spans="2:15" x14ac:dyDescent="0.25">
      <c r="B40" s="5">
        <v>18</v>
      </c>
      <c r="C40" s="17">
        <f>((F16/12)*11+((F16/12)*0.43))</f>
        <v>228.6</v>
      </c>
      <c r="D40" s="18">
        <f>((F16/12)*10+((F16/12)*0.45))</f>
        <v>209</v>
      </c>
      <c r="E40" s="19">
        <f>((F16/12)*9+((F16/12)*0.43))</f>
        <v>188.6</v>
      </c>
      <c r="F40" s="18">
        <f>((F16/12)*8+((F16/12)*0.45))</f>
        <v>169</v>
      </c>
      <c r="G40" s="19">
        <f>((F16/12)*7+((F16/12)*0.45))</f>
        <v>149</v>
      </c>
      <c r="H40" s="18">
        <f>((F16/12)*6+((F16/12)*0.43))</f>
        <v>128.6</v>
      </c>
      <c r="I40" s="19">
        <f>((F16/12)*5+((F16/12)*0.45))</f>
        <v>109</v>
      </c>
      <c r="J40" s="18">
        <f>((F16/12)*4+((F16/12)*0.43))</f>
        <v>88.6</v>
      </c>
      <c r="K40" s="19">
        <f>((F16/12)*3+((F16/12)*0.45))</f>
        <v>69</v>
      </c>
      <c r="L40" s="18">
        <f>((F16/12)*2+((F16/12)*0.45))</f>
        <v>49</v>
      </c>
      <c r="M40" s="20">
        <f>((F16/12)*1+((F16/12)*0.39))</f>
        <v>27.8</v>
      </c>
      <c r="N40" s="20">
        <f>((F16/12)*1+((F16/12)*0.41))</f>
        <v>28.2</v>
      </c>
      <c r="O40" s="21">
        <f>((F16/12)*0+((F16/12)*0.45))</f>
        <v>9</v>
      </c>
    </row>
    <row r="41" spans="2:15" x14ac:dyDescent="0.25">
      <c r="B41" s="5">
        <v>19</v>
      </c>
      <c r="C41" s="17">
        <f>((F16/12)*11+((F16/12)*0.4))</f>
        <v>228</v>
      </c>
      <c r="D41" s="18">
        <f>((F16/12)*10+((F16/12)*0.42))</f>
        <v>208.4</v>
      </c>
      <c r="E41" s="19">
        <f>((F16/12)*9+((F16/12)*0.4))</f>
        <v>188</v>
      </c>
      <c r="F41" s="18">
        <f>((F16/12)*8+((F16/12)*0.42))</f>
        <v>168.4</v>
      </c>
      <c r="G41" s="19">
        <f>((F16/12)*7+((F16/12)*0.42))</f>
        <v>148.4</v>
      </c>
      <c r="H41" s="18">
        <f>((F16/12)*6+((F16/12)*0.4))</f>
        <v>128</v>
      </c>
      <c r="I41" s="19">
        <f>((F16/12)*5+((F16/12)*0.42))</f>
        <v>108.4</v>
      </c>
      <c r="J41" s="18">
        <f>((F16/12)*4+((F16/12)*0.4))</f>
        <v>88</v>
      </c>
      <c r="K41" s="19">
        <f>((F16/12)*3+((F16/12)*0.42))</f>
        <v>68.400000000000006</v>
      </c>
      <c r="L41" s="18">
        <f>((F16/12)*2+((F16/12)*0.42))</f>
        <v>48.4</v>
      </c>
      <c r="M41" s="20">
        <f>((F16/12)*1+((F16/12)*0.36))</f>
        <v>27.2</v>
      </c>
      <c r="N41" s="20">
        <f>((F16/12)*1+((F16/12)*0.38))</f>
        <v>27.6</v>
      </c>
      <c r="O41" s="21">
        <f>((F16/12)*0+((F16/12)*0.42))</f>
        <v>8.4</v>
      </c>
    </row>
    <row r="42" spans="2:15" x14ac:dyDescent="0.25">
      <c r="B42" s="5">
        <v>20</v>
      </c>
      <c r="C42" s="17">
        <f>((F16/12)*11+((F16/12)*0.37))</f>
        <v>227.4</v>
      </c>
      <c r="D42" s="18">
        <f>((F16/12)*10+((F16/12)*0.39))</f>
        <v>207.8</v>
      </c>
      <c r="E42" s="19">
        <f>((F16/12)*9+((F16/12)*0.37))</f>
        <v>187.4</v>
      </c>
      <c r="F42" s="18">
        <f>((F16/12)*8+((F16/12)*0.39))</f>
        <v>167.8</v>
      </c>
      <c r="G42" s="19">
        <f>((F16/12)*7+((F16/12)*0.39))</f>
        <v>147.80000000000001</v>
      </c>
      <c r="H42" s="18">
        <f>((F16/12)*6+((F16/12)*0.37))</f>
        <v>127.4</v>
      </c>
      <c r="I42" s="19">
        <f>((F16/12)*5+((F16/12)*0.39))</f>
        <v>107.8</v>
      </c>
      <c r="J42" s="18">
        <f>((F16/12)*4+((F16/12)*0.37))</f>
        <v>87.4</v>
      </c>
      <c r="K42" s="19">
        <f>((F16/12)*3+((F16/12)*0.39))</f>
        <v>67.8</v>
      </c>
      <c r="L42" s="18">
        <f>((F16/12)*2+((F16/12)*0.39))</f>
        <v>47.8</v>
      </c>
      <c r="M42" s="20">
        <f>((F16/12)*1+((F16/12)*0.32))</f>
        <v>26.4</v>
      </c>
      <c r="N42" s="20">
        <f>((F16/12)*1+((F16/12)*0.35))</f>
        <v>27</v>
      </c>
      <c r="O42" s="21">
        <f>((F16/12)*0+((F16/12)*0.39))</f>
        <v>7.8000000000000007</v>
      </c>
    </row>
    <row r="43" spans="2:15" x14ac:dyDescent="0.25">
      <c r="B43" s="5">
        <v>21</v>
      </c>
      <c r="C43" s="17">
        <f>((F16/12)*11+((F16/12)*0.33))</f>
        <v>226.6</v>
      </c>
      <c r="D43" s="18">
        <f>((F16/12)*10+((F16/12)*0.36))</f>
        <v>207.2</v>
      </c>
      <c r="E43" s="19">
        <f>((F16/12)*9+((F16/12)*0.33))</f>
        <v>186.6</v>
      </c>
      <c r="F43" s="18">
        <f>((F16/12)*8+((F16/12)*0.36))</f>
        <v>167.2</v>
      </c>
      <c r="G43" s="19">
        <f>((F16/12)*7+((F16/12)*0.36))</f>
        <v>147.19999999999999</v>
      </c>
      <c r="H43" s="18">
        <f>((F16/12)*6+((F16/12)*0.33))</f>
        <v>126.6</v>
      </c>
      <c r="I43" s="19">
        <f>((F16/12)*5+((F16/12)*0.36))</f>
        <v>107.2</v>
      </c>
      <c r="J43" s="18">
        <f>((F16/12)*4+((F16/12)*0.33))</f>
        <v>86.6</v>
      </c>
      <c r="K43" s="19">
        <f>((F16/12)*3+((F16/12)*0.36))</f>
        <v>67.2</v>
      </c>
      <c r="L43" s="18">
        <f>((F16/12)*2+((F16/12)*0.36))</f>
        <v>47.2</v>
      </c>
      <c r="M43" s="20">
        <f>((F16/12)*1+((F16/12)*0.29))</f>
        <v>25.8</v>
      </c>
      <c r="N43" s="20">
        <f>((F16/12)*1+((F16/12)*0.31))</f>
        <v>26.2</v>
      </c>
      <c r="O43" s="21">
        <f>((F16/12)*0+((F16/12)*0.36))</f>
        <v>7.1999999999999993</v>
      </c>
    </row>
    <row r="44" spans="2:15" x14ac:dyDescent="0.25">
      <c r="B44" s="5">
        <v>22</v>
      </c>
      <c r="C44" s="17">
        <f>((F16/12)*11+((F16/12)*0.3))</f>
        <v>226</v>
      </c>
      <c r="D44" s="18">
        <f>((F16/12)*10+((F16/12)*0.32))</f>
        <v>206.4</v>
      </c>
      <c r="E44" s="19">
        <f>((F16/12)*9+((F16/12)*0.3))</f>
        <v>186</v>
      </c>
      <c r="F44" s="18">
        <f>((F16/12)*8+((F16/12)*0.32))</f>
        <v>166.4</v>
      </c>
      <c r="G44" s="19">
        <f>((F16/12)*7+((F16/12)*0.32))</f>
        <v>146.4</v>
      </c>
      <c r="H44" s="18">
        <f>((F16/12)*6+((F16/12)*0.3))</f>
        <v>126</v>
      </c>
      <c r="I44" s="19">
        <f>((F16/12)*5+((F16/12)*0.32))</f>
        <v>106.4</v>
      </c>
      <c r="J44" s="18">
        <f>((F16/12)*4+((F16/12)*0.3))</f>
        <v>86</v>
      </c>
      <c r="K44" s="19">
        <f>((F16/12)*3+((F16/12)*0.32))</f>
        <v>66.400000000000006</v>
      </c>
      <c r="L44" s="18">
        <f>((F16/12)*2+((F16/12)*0.32))</f>
        <v>46.4</v>
      </c>
      <c r="M44" s="20">
        <f>((F16/12)*1+((F16/12)*0.25))</f>
        <v>25</v>
      </c>
      <c r="N44" s="20">
        <f>((F16/12)*1+((F16/12)*0.28))</f>
        <v>25.6</v>
      </c>
      <c r="O44" s="21">
        <f>((F16/12)*0+((F16/12)*0.32))</f>
        <v>6.4</v>
      </c>
    </row>
    <row r="45" spans="2:15" x14ac:dyDescent="0.25">
      <c r="B45" s="5">
        <v>23</v>
      </c>
      <c r="C45" s="17">
        <f>((F16/12)*11+((F16/12)*0.27))</f>
        <v>225.4</v>
      </c>
      <c r="D45" s="18">
        <f>((F16/12)*10+((F16/12)*0.29))</f>
        <v>205.8</v>
      </c>
      <c r="E45" s="19">
        <f>((F16/12)*9+((F16/12)*0.27))</f>
        <v>185.4</v>
      </c>
      <c r="F45" s="18">
        <f>((F16/12)*8+((F16/12)*0.29))</f>
        <v>165.8</v>
      </c>
      <c r="G45" s="19">
        <f>((F16/12)*7+((F16/12)*0.29))</f>
        <v>145.80000000000001</v>
      </c>
      <c r="H45" s="18">
        <f>((F16/12)*6+((F16/12)*0.27))</f>
        <v>125.4</v>
      </c>
      <c r="I45" s="19">
        <f>((F16/12)*5+((F16/12)*0.29))</f>
        <v>105.8</v>
      </c>
      <c r="J45" s="18">
        <f>((F16/12)*4+((F16/12)*0.27))</f>
        <v>85.4</v>
      </c>
      <c r="K45" s="19">
        <f>((F16/12)*3+((F16/12)*0.29))</f>
        <v>65.8</v>
      </c>
      <c r="L45" s="18">
        <f>((F16/12)*2+((F16/12)*0.29))</f>
        <v>45.8</v>
      </c>
      <c r="M45" s="20">
        <f>((F16/12)*1+((F16/12)*0.21))</f>
        <v>24.2</v>
      </c>
      <c r="N45" s="20">
        <f>((F16/12)*1+((F16/12)*0.24))</f>
        <v>24.8</v>
      </c>
      <c r="O45" s="21">
        <f>((F16/12)*0+((F16/12)*0.29))</f>
        <v>5.8</v>
      </c>
    </row>
    <row r="46" spans="2:15" x14ac:dyDescent="0.25">
      <c r="B46" s="5">
        <v>24</v>
      </c>
      <c r="C46" s="17">
        <f>((F16/12)*11+((F16/12)*0.23))</f>
        <v>224.6</v>
      </c>
      <c r="D46" s="18">
        <f>((F16/12)*10+((F16/12)*0.26))</f>
        <v>205.2</v>
      </c>
      <c r="E46" s="19">
        <f>((F16/12)*9+((F16/12)*0.23))</f>
        <v>184.6</v>
      </c>
      <c r="F46" s="18">
        <f>((F16/12)*8+((F16/12)*0.26))</f>
        <v>165.2</v>
      </c>
      <c r="G46" s="19">
        <f>((F16/12)*7+((F16/12)*0.26))</f>
        <v>145.19999999999999</v>
      </c>
      <c r="H46" s="18">
        <f>((F16/12)*6+((F16/12)*0.23))</f>
        <v>124.6</v>
      </c>
      <c r="I46" s="19">
        <f>((F16/12)*5+((F16/12)*0.26))</f>
        <v>105.2</v>
      </c>
      <c r="J46" s="18">
        <f>((F16/12)*4+((F16/12)*0.23))</f>
        <v>84.6</v>
      </c>
      <c r="K46" s="19">
        <f>((F16/12)*3+((F16/12)*0.26))</f>
        <v>65.2</v>
      </c>
      <c r="L46" s="18">
        <f>((F16/12)*2+((F16/12)*0.26))</f>
        <v>45.2</v>
      </c>
      <c r="M46" s="20">
        <f>((F16/12)*1+((F16/12)*0.18))</f>
        <v>23.6</v>
      </c>
      <c r="N46" s="20">
        <f>((F16/12)*1+((F16/12)*0.21))</f>
        <v>24.2</v>
      </c>
      <c r="O46" s="21">
        <f>((F16/12)*0+((F16/12)*0.26))</f>
        <v>5.2</v>
      </c>
    </row>
    <row r="47" spans="2:15" x14ac:dyDescent="0.25">
      <c r="B47" s="5">
        <v>25</v>
      </c>
      <c r="C47" s="17">
        <f>((F16/12)*11+((F16/12)*0.2))</f>
        <v>224</v>
      </c>
      <c r="D47" s="18">
        <f>((F16/12)*10+((F16/12)*0.23))</f>
        <v>204.6</v>
      </c>
      <c r="E47" s="19">
        <f>((F16/12)*9+((F16/12)*0.2))</f>
        <v>184</v>
      </c>
      <c r="F47" s="18">
        <f>((F16/12)*8+((F16/12)*0.23))</f>
        <v>164.6</v>
      </c>
      <c r="G47" s="19">
        <f>((F16/12)*7+((F16/12)*0.23))</f>
        <v>144.6</v>
      </c>
      <c r="H47" s="18">
        <f>((F16/12)*6+((F16/12)*0.2))</f>
        <v>124</v>
      </c>
      <c r="I47" s="19">
        <f>((F16/12)*5+((F16/12)*0.23))</f>
        <v>104.6</v>
      </c>
      <c r="J47" s="18">
        <f>((F16/12)*4+((F16/12)*0.2))</f>
        <v>84</v>
      </c>
      <c r="K47" s="19">
        <f>((F16/12)*3+((F16/12)*0.23))</f>
        <v>64.599999999999994</v>
      </c>
      <c r="L47" s="18">
        <f>((F16/12)*2+((F16/12)*0.23))</f>
        <v>44.6</v>
      </c>
      <c r="M47" s="20">
        <f>((F16/12)*1+((F16/12)*0.14))</f>
        <v>22.8</v>
      </c>
      <c r="N47" s="20">
        <f>((F16/12)*1+((F16/12)*0.17))</f>
        <v>23.4</v>
      </c>
      <c r="O47" s="21">
        <f>((F16/12)*0+((F16/12)*0.23))</f>
        <v>4.6000000000000005</v>
      </c>
    </row>
    <row r="48" spans="2:15" x14ac:dyDescent="0.25">
      <c r="B48" s="5">
        <v>26</v>
      </c>
      <c r="C48" s="17">
        <f>((F16/12)*11+((F16/12)*0.17))</f>
        <v>223.4</v>
      </c>
      <c r="D48" s="18">
        <f>((F16/12)*10+((F16/12)*0.19))</f>
        <v>203.8</v>
      </c>
      <c r="E48" s="19">
        <f>((F16/12)*9+((F16/12)*0.17))</f>
        <v>183.4</v>
      </c>
      <c r="F48" s="18">
        <f>((F16/12)*8+((F16/12)*0.19))</f>
        <v>163.80000000000001</v>
      </c>
      <c r="G48" s="19">
        <f>((F16/12)*7+((F16/12)*0.19))</f>
        <v>143.80000000000001</v>
      </c>
      <c r="H48" s="18">
        <f>((F16/12)*6+((F16/12)*0.17))</f>
        <v>123.4</v>
      </c>
      <c r="I48" s="19">
        <f>((F16/12)*5+((F16/12)*0.19))</f>
        <v>103.8</v>
      </c>
      <c r="J48" s="18">
        <f>((F16/12)*4+((F16/12)*0.17))</f>
        <v>83.4</v>
      </c>
      <c r="K48" s="19">
        <f>((F16/12)*3+((F16/12)*0.19))</f>
        <v>63.8</v>
      </c>
      <c r="L48" s="18">
        <f>((F16/12)*2+((F16/12)*0.19))</f>
        <v>43.8</v>
      </c>
      <c r="M48" s="20">
        <f>((F16/12)*1+((F16/12)*0.11))</f>
        <v>22.2</v>
      </c>
      <c r="N48" s="20">
        <f>((F16/12)*1+((F16/12)*0.14))</f>
        <v>22.8</v>
      </c>
      <c r="O48" s="21">
        <f>((F16/12)*0+((F16/12)*0.19))</f>
        <v>3.8</v>
      </c>
    </row>
    <row r="49" spans="2:15" x14ac:dyDescent="0.25">
      <c r="B49" s="5">
        <v>27</v>
      </c>
      <c r="C49" s="17">
        <f>((F16/12)*11+((F16/12)*0.13))</f>
        <v>222.6</v>
      </c>
      <c r="D49" s="18">
        <f>((F16/12)*10+((F16/12)*0.16))</f>
        <v>203.2</v>
      </c>
      <c r="E49" s="19">
        <f>((F16/12)*9+((F16/12)*0.13))</f>
        <v>182.6</v>
      </c>
      <c r="F49" s="18">
        <f>((F16/12)*8+((F16/12)*0.16))</f>
        <v>163.19999999999999</v>
      </c>
      <c r="G49" s="19">
        <f>((F16/12)*7+((F16/12)*0.16))</f>
        <v>143.19999999999999</v>
      </c>
      <c r="H49" s="18">
        <f>((F16/12)*6+((F16/12)*0.13))</f>
        <v>122.6</v>
      </c>
      <c r="I49" s="19">
        <f>((F16/12)*5+((F16/12)*0.16))</f>
        <v>103.2</v>
      </c>
      <c r="J49" s="18">
        <f>((F16/12)*4+((F16/12)*0.13))</f>
        <v>82.6</v>
      </c>
      <c r="K49" s="19">
        <f>((F16/12)*3+((F16/12)*0.16))</f>
        <v>63.2</v>
      </c>
      <c r="L49" s="18">
        <f>((F16/12)*2+((F16/12)*0.16))</f>
        <v>43.2</v>
      </c>
      <c r="M49" s="20">
        <f>((F16/12)*1+((F16/12)*0.07))</f>
        <v>21.4</v>
      </c>
      <c r="N49" s="20">
        <f>((F16/12)*1+((F16/12)*0.1))</f>
        <v>22</v>
      </c>
      <c r="O49" s="21">
        <f>((F16/12)*0+((F16/12)*0.16))</f>
        <v>3.2</v>
      </c>
    </row>
    <row r="50" spans="2:15" x14ac:dyDescent="0.25">
      <c r="B50" s="5">
        <v>28</v>
      </c>
      <c r="C50" s="17">
        <f>((F16/12)*11+((F16/12)*0.1))</f>
        <v>222</v>
      </c>
      <c r="D50" s="18">
        <f>((F16/12)*10+((F16/12)*0.13))</f>
        <v>202.6</v>
      </c>
      <c r="E50" s="19">
        <f>((F16/12)*9+((F16/12)*0.1))</f>
        <v>182</v>
      </c>
      <c r="F50" s="18">
        <f>((F16/12)*8+((F16/12)*0.13))</f>
        <v>162.6</v>
      </c>
      <c r="G50" s="19">
        <f>((F16/12)*7+((F16/12)*0.13))</f>
        <v>142.6</v>
      </c>
      <c r="H50" s="18">
        <f>((F16/12)*6+((F16/12)*0.1))</f>
        <v>122</v>
      </c>
      <c r="I50" s="19">
        <f>((F16/12)*5+((F16/12)*0.13))</f>
        <v>102.6</v>
      </c>
      <c r="J50" s="18">
        <f>((F16/12)*4+((F16/12)*0.1))</f>
        <v>82</v>
      </c>
      <c r="K50" s="19">
        <f>((F16/12)*3+((F16/12)*0.13))</f>
        <v>62.6</v>
      </c>
      <c r="L50" s="18">
        <f>((F16/12)*2+((F16/12)*0.13))</f>
        <v>42.6</v>
      </c>
      <c r="M50" s="20">
        <f>((F16/12)*1+((F16/12)*0.04))</f>
        <v>20.8</v>
      </c>
      <c r="N50" s="20">
        <f>((F16/12)*1+((F16/12)*0.07))</f>
        <v>21.4</v>
      </c>
      <c r="O50" s="21">
        <f>((F16/12)*0+((F16/12)*0.13))</f>
        <v>2.6</v>
      </c>
    </row>
    <row r="51" spans="2:15" x14ac:dyDescent="0.25">
      <c r="B51" s="5">
        <v>29</v>
      </c>
      <c r="C51" s="17">
        <f>((F16/12)*11+((F16/12)*0.07))</f>
        <v>221.4</v>
      </c>
      <c r="D51" s="18">
        <f>((F16/12)*10+((F16/12)*0.1))</f>
        <v>202</v>
      </c>
      <c r="E51" s="19">
        <f>((F16/12)*9+((F16/12)*0.07))</f>
        <v>181.4</v>
      </c>
      <c r="F51" s="18">
        <f>((F16/12)*8+((F16/12)*0.1))</f>
        <v>162</v>
      </c>
      <c r="G51" s="19">
        <f>((F16/12)*7+((F16/12)*0.1))</f>
        <v>142</v>
      </c>
      <c r="H51" s="18">
        <f>((F16/12)*6+((F16/12)*0.07))</f>
        <v>121.4</v>
      </c>
      <c r="I51" s="19">
        <f>((F16/12)*5+((F16/12)*0.1))</f>
        <v>102</v>
      </c>
      <c r="J51" s="18">
        <f>((F16/12)*4+((F16/12)*0.07))</f>
        <v>81.400000000000006</v>
      </c>
      <c r="K51" s="19">
        <f>((F16/12)*3+((F16/12)*0.1))</f>
        <v>62</v>
      </c>
      <c r="L51" s="18">
        <f>((F16/12)*2+((F16/12)*0.1))</f>
        <v>42</v>
      </c>
      <c r="M51" s="22"/>
      <c r="N51" s="20">
        <f>((F16/12)*1+((F16/12)*0.04))</f>
        <v>20.8</v>
      </c>
      <c r="O51" s="21">
        <f>((F16/12)*0+((F16/12)*0.1))</f>
        <v>2</v>
      </c>
    </row>
    <row r="52" spans="2:15" x14ac:dyDescent="0.25">
      <c r="B52" s="5">
        <v>30</v>
      </c>
      <c r="C52" s="17">
        <f>((F16/12)*11+((F16/12)*0.03))</f>
        <v>220.6</v>
      </c>
      <c r="D52" s="18">
        <f>((F16/12)*10+((F16/12)*0.07))</f>
        <v>201.4</v>
      </c>
      <c r="E52" s="19">
        <f>((F16/12)*9+((F16/12)*0.03))</f>
        <v>180.6</v>
      </c>
      <c r="F52" s="18">
        <f>((F16/12)*8+((F16/12)*0.07))</f>
        <v>161.4</v>
      </c>
      <c r="G52" s="19">
        <f>((F16/12)*7+((F16/12)*0.07))</f>
        <v>141.4</v>
      </c>
      <c r="H52" s="18">
        <f>((F16/12)*6+((F16/12)*0.03))</f>
        <v>120.6</v>
      </c>
      <c r="I52" s="19">
        <f>((F16/12)*5+((F16/12)*0.07))</f>
        <v>101.4</v>
      </c>
      <c r="J52" s="18">
        <f>((F16/12)*4+((F16/12)*0.03))</f>
        <v>80.599999999999994</v>
      </c>
      <c r="K52" s="19">
        <f>((F16/12)*3+((F16/12)*0.07))</f>
        <v>61.4</v>
      </c>
      <c r="L52" s="18">
        <f>((F16/12)*2+((F16/12)*0.07))</f>
        <v>41.4</v>
      </c>
      <c r="M52" s="22"/>
      <c r="N52" s="23"/>
      <c r="O52" s="21">
        <f>((F16/12)*0+((F16/12)*0.07))</f>
        <v>1.4000000000000001</v>
      </c>
    </row>
    <row r="53" spans="2:15" ht="15.75" thickBot="1" x14ac:dyDescent="0.3">
      <c r="B53" s="6">
        <v>31</v>
      </c>
      <c r="C53" s="24"/>
      <c r="D53" s="25">
        <f>((F16/12)*10+((F16/12)*0.03))</f>
        <v>200.6</v>
      </c>
      <c r="E53" s="26"/>
      <c r="F53" s="25">
        <f>((F16/12)*8+((F16/12)*0.03))</f>
        <v>160.6</v>
      </c>
      <c r="G53" s="27">
        <f>((F16/12)*7+((F16/12)*0.03))</f>
        <v>140.6</v>
      </c>
      <c r="H53" s="26"/>
      <c r="I53" s="27">
        <f>((F16/12)*5+((F16/12)*0.03))</f>
        <v>100.6</v>
      </c>
      <c r="J53" s="26"/>
      <c r="K53" s="27">
        <f>((F16/12)*3+((F16/12)*0.03))</f>
        <v>60.6</v>
      </c>
      <c r="L53" s="25">
        <f>((F16/12)*2+((F16/12)*0.03))</f>
        <v>40.6</v>
      </c>
      <c r="M53" s="28"/>
      <c r="N53" s="28"/>
      <c r="O53" s="29">
        <f>((F16/12)*0+((F16/12)*0.03))</f>
        <v>0.6</v>
      </c>
    </row>
    <row r="54" spans="2:15" ht="15.75" thickTop="1" x14ac:dyDescent="0.25">
      <c r="B54" s="9"/>
      <c r="C54" s="10"/>
      <c r="D54" s="10"/>
      <c r="E54" s="10"/>
      <c r="F54" s="10"/>
      <c r="G54" s="10"/>
      <c r="H54" s="10"/>
      <c r="I54" s="10"/>
      <c r="J54" s="10"/>
      <c r="K54" s="10"/>
      <c r="L54" s="10"/>
      <c r="M54" s="9"/>
      <c r="N54" s="9"/>
      <c r="O54" s="10"/>
    </row>
    <row r="55" spans="2:15" x14ac:dyDescent="0.25">
      <c r="B55" s="45" t="s">
        <v>16</v>
      </c>
      <c r="C55" s="46"/>
      <c r="D55" s="46"/>
      <c r="E55" s="46"/>
      <c r="F55" s="46"/>
      <c r="G55" s="46"/>
      <c r="H55" s="46"/>
      <c r="I55" s="46"/>
      <c r="J55" s="46"/>
      <c r="K55" s="46"/>
      <c r="L55" s="46"/>
      <c r="M55" s="46"/>
      <c r="N55" s="46"/>
      <c r="O55" s="46"/>
    </row>
    <row r="56" spans="2:15" x14ac:dyDescent="0.25">
      <c r="B56" s="46"/>
      <c r="C56" s="46"/>
      <c r="D56" s="46"/>
      <c r="E56" s="46"/>
      <c r="F56" s="46"/>
      <c r="G56" s="46"/>
      <c r="H56" s="46"/>
      <c r="I56" s="46"/>
      <c r="J56" s="46"/>
      <c r="K56" s="46"/>
      <c r="L56" s="46"/>
      <c r="M56" s="46"/>
      <c r="N56" s="46"/>
      <c r="O56" s="46"/>
    </row>
    <row r="57" spans="2:15" x14ac:dyDescent="0.25">
      <c r="B57" s="11"/>
      <c r="C57" s="11"/>
      <c r="D57" s="11"/>
      <c r="E57" s="11"/>
      <c r="F57" s="11"/>
      <c r="G57" s="11"/>
      <c r="H57" s="11"/>
      <c r="I57" s="11"/>
      <c r="J57" s="11"/>
      <c r="K57" s="11"/>
      <c r="L57" s="11"/>
      <c r="M57" s="11"/>
      <c r="N57" s="11"/>
      <c r="O57" s="11"/>
    </row>
    <row r="58" spans="2:15" x14ac:dyDescent="0.25">
      <c r="B58" s="35" t="s">
        <v>18</v>
      </c>
      <c r="C58" s="34"/>
      <c r="D58" s="34"/>
      <c r="E58" s="34"/>
      <c r="F58" s="34"/>
      <c r="G58" s="34"/>
      <c r="H58" s="34"/>
      <c r="I58" s="34"/>
      <c r="J58" s="34"/>
      <c r="K58" s="34"/>
      <c r="L58" s="34"/>
      <c r="M58" s="34"/>
      <c r="N58" s="34"/>
      <c r="O58" s="34"/>
    </row>
    <row r="59" spans="2:15" x14ac:dyDescent="0.25">
      <c r="B59" s="8"/>
      <c r="C59" s="8"/>
      <c r="D59" s="8"/>
      <c r="E59" s="8"/>
      <c r="F59" s="8"/>
      <c r="G59" s="8"/>
      <c r="H59" s="8"/>
      <c r="I59" s="8"/>
      <c r="J59" s="8"/>
      <c r="K59" s="8"/>
      <c r="L59" s="8"/>
      <c r="M59" s="8"/>
      <c r="N59" s="8"/>
      <c r="O59" s="8"/>
    </row>
    <row r="62" spans="2:15" x14ac:dyDescent="0.25">
      <c r="B62" s="33"/>
      <c r="C62" s="33"/>
      <c r="D62" s="33"/>
      <c r="E62" s="33"/>
      <c r="F62" s="33"/>
      <c r="G62" s="33"/>
      <c r="H62" s="33"/>
      <c r="I62" s="33"/>
      <c r="J62" s="33"/>
      <c r="K62" s="33"/>
      <c r="L62" s="33"/>
      <c r="M62" s="33"/>
      <c r="N62" s="33"/>
      <c r="O62" s="33"/>
    </row>
    <row r="63" spans="2:15" ht="15" customHeight="1" x14ac:dyDescent="0.25"/>
  </sheetData>
  <sheetProtection password="980C" sheet="1" objects="1" scenarios="1"/>
  <mergeCells count="21">
    <mergeCell ref="B1:O3"/>
    <mergeCell ref="L21:L22"/>
    <mergeCell ref="B19:H19"/>
    <mergeCell ref="B62:O62"/>
    <mergeCell ref="B58:O58"/>
    <mergeCell ref="B7:O14"/>
    <mergeCell ref="B5:O5"/>
    <mergeCell ref="B55:O56"/>
    <mergeCell ref="O21:O22"/>
    <mergeCell ref="B21:B22"/>
    <mergeCell ref="B16:E16"/>
    <mergeCell ref="M21:N21"/>
    <mergeCell ref="C21:C22"/>
    <mergeCell ref="D21:D22"/>
    <mergeCell ref="E21:E22"/>
    <mergeCell ref="F21:F22"/>
    <mergeCell ref="G21:G22"/>
    <mergeCell ref="H21:H22"/>
    <mergeCell ref="I21:I22"/>
    <mergeCell ref="J21:J22"/>
    <mergeCell ref="K21:K22"/>
  </mergeCells>
  <pageMargins left="0.31496062992125984" right="0.31496062992125984" top="0.35433070866141736" bottom="0.15748031496062992" header="0.31496062992125984" footer="0.11811023622047245"/>
  <pageSetup paperSize="9" scale="6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Leave Year ~ April to March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Helen Local</cp:lastModifiedBy>
  <cp:lastPrinted>2016-08-26T20:39:51Z</cp:lastPrinted>
  <dcterms:created xsi:type="dcterms:W3CDTF">2016-08-17T09:38:02Z</dcterms:created>
  <dcterms:modified xsi:type="dcterms:W3CDTF">2021-06-05T15:45:30Z</dcterms:modified>
</cp:coreProperties>
</file>